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anry\backup 2023\dokumen\HANRY\Tridjasa\03. Project\Rumah Tahfiz\02. project\3. Management\"/>
    </mc:Choice>
  </mc:AlternateContent>
  <xr:revisionPtr revIDLastSave="0" documentId="13_ncr:1_{1A5B0AA4-E236-42C2-A524-6BBB18D4BA91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REKAP (Final Harga Kontrak)" sheetId="17" r:id="rId1"/>
    <sheet name="BOQ (Final Harga Kontrak)" sheetId="18" r:id="rId2"/>
    <sheet name="Schedule &amp; S-Cuve " sheetId="13" r:id="rId3"/>
    <sheet name="RAB" sheetId="15" r:id="rId4"/>
    <sheet name="VOLUME" sheetId="12" state="hidden" r:id="rId5"/>
    <sheet name="REKAP" sheetId="11" state="hidden" r:id="rId6"/>
    <sheet name="BOQ" sheetId="1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M">#REF!</definedName>
    <definedName name="\Q">#REF!</definedName>
    <definedName name="\S">#REF!</definedName>
    <definedName name="\W">#REF!</definedName>
    <definedName name="\WQ">'[1]BAG-2'!#REF!</definedName>
    <definedName name="__123Graph_A" hidden="1">'[2]arp-18'!$I$167:$U$167</definedName>
    <definedName name="__ahu100">#REF!</definedName>
    <definedName name="__ahu150">#REF!</definedName>
    <definedName name="__bsc100">#REF!</definedName>
    <definedName name="__ewr4">#REF!</definedName>
    <definedName name="__grc1">#REF!</definedName>
    <definedName name="__gyp7">'[3]Harga Material'!#REF!</definedName>
    <definedName name="__ker1020">#REF!</definedName>
    <definedName name="__ker40">'[4]HB '!#REF!</definedName>
    <definedName name="__pah150">#REF!</definedName>
    <definedName name="__pav8">#REF!</definedName>
    <definedName name="__ph100">#REF!</definedName>
    <definedName name="__ph150">#REF!</definedName>
    <definedName name="__phf100">#REF!</definedName>
    <definedName name="__phf150">#REF!</definedName>
    <definedName name="__pv100">#REF!</definedName>
    <definedName name="__pv50">#REF!</definedName>
    <definedName name="__pv80">#REF!</definedName>
    <definedName name="__pvc1">#REF!</definedName>
    <definedName name="__pvc12">#REF!</definedName>
    <definedName name="__pvc3">#REF!</definedName>
    <definedName name="__pvc34">#REF!</definedName>
    <definedName name="__pvf100">#REF!</definedName>
    <definedName name="__pvf80">#REF!</definedName>
    <definedName name="__vnt100">#REF!</definedName>
    <definedName name="__vnt50">#REF!</definedName>
    <definedName name="__vnt80">#REF!</definedName>
    <definedName name="_abs10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bcv100">#REF!</definedName>
    <definedName name="_bcv125">#REF!</definedName>
    <definedName name="_bcv150">#REF!</definedName>
    <definedName name="_cas80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ia6">#REF!</definedName>
    <definedName name="_Fill" localSheetId="6" hidden="1">#REF!</definedName>
    <definedName name="_Fill" localSheetId="1" hidden="1">#REF!</definedName>
    <definedName name="_Fill" localSheetId="3" hidden="1">#REF!</definedName>
    <definedName name="_Fill" localSheetId="2" hidden="1">#REF!</definedName>
    <definedName name="_Fill" hidden="1">#REF!</definedName>
    <definedName name="_xlnm._FilterDatabase" localSheetId="6" hidden="1">#REF!</definedName>
    <definedName name="_xlnm._FilterDatabase" localSheetId="1" hidden="1">#REF!</definedName>
    <definedName name="_xlnm._FilterDatabase" localSheetId="3" hidden="1">#REF!</definedName>
    <definedName name="_xlnm._FilterDatabase" localSheetId="2" hidden="1">#REF!</definedName>
    <definedName name="_xlnm._FilterDatabase" hidden="1">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gra404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gyp9">#REF!</definedName>
    <definedName name="_hdw1">#REF!</definedName>
    <definedName name="_ker2020">#REF!</definedName>
    <definedName name="_ker2025">#REF!</definedName>
    <definedName name="_ker3030">#REF!</definedName>
    <definedName name="_Key1" localSheetId="6" hidden="1">#REF!</definedName>
    <definedName name="_Key1" localSheetId="1" hidden="1">#REF!</definedName>
    <definedName name="_Key1" localSheetId="3" hidden="1">#REF!</definedName>
    <definedName name="_Key1" localSheetId="2" hidden="1">#REF!</definedName>
    <definedName name="_Key1" hidden="1">#REF!</definedName>
    <definedName name="_Key2" localSheetId="6" hidden="1">#REF!</definedName>
    <definedName name="_Key2" localSheetId="1" hidden="1">#REF!</definedName>
    <definedName name="_Key2" localSheetId="3" hidden="1">#REF!</definedName>
    <definedName name="_Key2" localSheetId="2" hidden="1">#REF!</definedName>
    <definedName name="_Key2" hidden="1">#REF!</definedName>
    <definedName name="_ko2">#REF!</definedName>
    <definedName name="_kof1">[5]Analisa!$AB$17</definedName>
    <definedName name="_mik2020">#REF!</definedName>
    <definedName name="_mik2025">#REF!</definedName>
    <definedName name="_mik2033">#REF!</definedName>
    <definedName name="_mik3333">#REF!</definedName>
    <definedName name="_mik3350">#REF!</definedName>
    <definedName name="_mik4040">#REF!</definedName>
    <definedName name="_mik6060">'[3]Harga Material'!$G$48</definedName>
    <definedName name="_Order1" hidden="1">255</definedName>
    <definedName name="_Order2" hidden="1">255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k100">#REF!</definedName>
    <definedName name="_pak150">#REF!</definedName>
    <definedName name="_pak50">#REF!</definedName>
    <definedName name="_pak80">#REF!</definedName>
    <definedName name="_pal2040">'[3]Harga Material'!$G$52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'[6]Harga Material'!$G$14</definedName>
    <definedName name="_pc80">#REF!</definedName>
    <definedName name="_pcf80">#REF!</definedName>
    <definedName name="_pv40">#REF!</definedName>
    <definedName name="_pvc44">#REF!</definedName>
    <definedName name="_sfv150">#REF!</definedName>
    <definedName name="_skl1">#REF!</definedName>
    <definedName name="_skl2">#REF!</definedName>
    <definedName name="_skl3">#REF!</definedName>
    <definedName name="_Sort" localSheetId="6" hidden="1">#REF!</definedName>
    <definedName name="_Sort" localSheetId="1" hidden="1">#REF!</definedName>
    <definedName name="_Sort" localSheetId="3" hidden="1">#REF!</definedName>
    <definedName name="_Sort" localSheetId="2" hidden="1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tsv25">#REF!</definedName>
    <definedName name="_vnt40">#REF!</definedName>
    <definedName name="A">#REF!</definedName>
    <definedName name="A_1">#REF!</definedName>
    <definedName name="A_2">#REF!</definedName>
    <definedName name="A460.">#REF!</definedName>
    <definedName name="A901.">#REF!</definedName>
    <definedName name="aa">#REF!</definedName>
    <definedName name="aax">#REF!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wl">#REF!</definedName>
    <definedName name="ABX">#REF!</definedName>
    <definedName name="ACX">#REF!</definedName>
    <definedName name="aDD.8">#REF!</definedName>
    <definedName name="ADX">#REF!</definedName>
    <definedName name="agregat">'[7]HB '!$F$52</definedName>
    <definedName name="agregat_1">[8]HB!#REF!</definedName>
    <definedName name="ahrd100">#REF!</definedName>
    <definedName name="ahrd150">#REF!</definedName>
    <definedName name="ahuf100">#REF!</definedName>
    <definedName name="ahuf150">#REF!</definedName>
    <definedName name="ahuf150ahuf150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T">'[9]bahan '!$B$158</definedName>
    <definedName name="alkali">'[3]Harga Material'!#REF!</definedName>
    <definedName name="almu">'[3]Harga Material'!#REF!</definedName>
    <definedName name="AM">'[9]bahan '!$B$157</definedName>
    <definedName name="amplas">#REF!</definedName>
    <definedName name="amplas180">#REF!</definedName>
    <definedName name="amplas400">#REF!</definedName>
    <definedName name="an.aci">'[3]Harsat-2009'!#REF!</definedName>
    <definedName name="an.asbes">'[3]Harsat-2009'!#REF!</definedName>
    <definedName name="an.b_ringan">'[3]Harsat-2009'!#REF!</definedName>
    <definedName name="an.baja">'[10]Harsat-2009'!#REF!</definedName>
    <definedName name="an.bata">'[3]Harsat-2009'!#REF!</definedName>
    <definedName name="an.batako">'[3]Harsat-2009'!#REF!</definedName>
    <definedName name="an.bekis">'[10]Harsat-2009'!#REF!</definedName>
    <definedName name="an.besi">'[3]Harsat-2009'!#REF!</definedName>
    <definedName name="an.bow">#REF!</definedName>
    <definedName name="an.catkayu">'[10]Harsat-2009'!#REF!</definedName>
    <definedName name="an.cattemb">'[10]Harsat-2009'!#REF!</definedName>
    <definedName name="an.cyc">'[10]Harsat-2009'!#REF!</definedName>
    <definedName name="an.engsel">'[10]Harsat-2009'!#REF!</definedName>
    <definedName name="an.fold">'[10]Harsat Pintu'!#REF!</definedName>
    <definedName name="an.gal">#REF!</definedName>
    <definedName name="an.genteng">'[10]Harsat-2009'!#REF!</definedName>
    <definedName name="an.glsblk">'[10]Harsat-2009'!#REF!</definedName>
    <definedName name="an.grendel">'[10]Harsat-2009'!#REF!</definedName>
    <definedName name="an.hard">'[10]Harsat-2009'!#REF!</definedName>
    <definedName name="an.j1">'[10]Harsat Pintu'!#REF!</definedName>
    <definedName name="an.jendela">'[10]Harsat-2009'!#REF!</definedName>
    <definedName name="an.K175">'[10]Harsat-2009'!#REF!</definedName>
    <definedName name="an.K225">'[10]Harsat-2009'!#REF!</definedName>
    <definedName name="an.K225mix">'[10]Harsat-2009'!#REF!</definedName>
    <definedName name="an.K250">'[10]Harsat-2009'!#REF!</definedName>
    <definedName name="an.kaca10">'[10]Harsat-2009'!#REF!</definedName>
    <definedName name="an.kait">'[10]Harsat-2009'!#REF!</definedName>
    <definedName name="an.kali">'[11]Harsat-2009'!$O$57</definedName>
    <definedName name="an.kans">'[10]Harsat-2009'!#REF!</definedName>
    <definedName name="an.kosong">'[10]Harsat-2009'!#REF!</definedName>
    <definedName name="an.krepyak">'[10]Harsat-2009'!#REF!</definedName>
    <definedName name="an.kuda">'[10]Harsat-2009'!#REF!</definedName>
    <definedName name="an.kuncikm">'[10]Harsat-2009'!#REF!</definedName>
    <definedName name="an.kuncip">'[10]Harsat-2009'!#REF!</definedName>
    <definedName name="an.kusen">'[10]Harsat-2009'!#REF!</definedName>
    <definedName name="an.lisplank">'[10]Harsat-2009'!#REF!</definedName>
    <definedName name="an.mikdin">'[10]Harsat-2009'!#REF!</definedName>
    <definedName name="an.miklan">'[10]Harsat-2009'!#REF!</definedName>
    <definedName name="an.miklan_20x20">'[10]Harsat-2009'!#REF!</definedName>
    <definedName name="an.miklan_20x25">'[10]Harsat-2009'!#REF!</definedName>
    <definedName name="an.miklan_60x60">'[10]Harsat-2009'!#REF!</definedName>
    <definedName name="an.miklan20">'[10]Harsat-2009'!#REF!</definedName>
    <definedName name="an.nok">'[10]Harsat-2009'!#REF!</definedName>
    <definedName name="an.p_80">'[10]Harsat Pintu'!#REF!</definedName>
    <definedName name="an.p3">'[10]Harsat Pintu'!#REF!</definedName>
    <definedName name="an.pa2040">'[10]Harsat-2009'!#REF!</definedName>
    <definedName name="an.panel">'[12]Harga Satuan'!$K$118</definedName>
    <definedName name="an.panil">'[10]Harsat-2009'!#REF!</definedName>
    <definedName name="an.pav">'[10]Harsat-2009'!#REF!</definedName>
    <definedName name="an.pdt2x">#REF!</definedName>
    <definedName name="an.pintu_temper">'[10]Harsat-2009'!#REF!</definedName>
    <definedName name="an.pj1">'[10]Harsat Pintu'!#REF!</definedName>
    <definedName name="an.plafon">'[10]Harsat-2009'!#REF!</definedName>
    <definedName name="an.plester">'[3]Harsat-2009'!#REF!</definedName>
    <definedName name="an.plin">'[10]Harsat-2009'!#REF!</definedName>
    <definedName name="an.plitur">'[10]Harsat-2009'!#REF!</definedName>
    <definedName name="an.plywood">'[10]Harsat-2009'!#REF!</definedName>
    <definedName name="an.po1">'[10]Harsat-2009'!#REF!</definedName>
    <definedName name="an.po2">'[10]Harsat-2009'!#REF!</definedName>
    <definedName name="an.po3">'[10]Harsat-2009'!#REF!</definedName>
    <definedName name="an.poldor">'[10]Harsat Pintu'!#REF!</definedName>
    <definedName name="an.proof">'[10]Harsat-2009'!#REF!</definedName>
    <definedName name="an.proofcoat">'[10]Harsat-2009'!#REF!</definedName>
    <definedName name="an.ps1">'[10]Harsat Pintu'!#REF!</definedName>
    <definedName name="an.ps2">'[10]Harsat Pintu'!#REF!</definedName>
    <definedName name="an.pvc">'[10]Harsat-2009'!#REF!</definedName>
    <definedName name="an.rabat">#REF!</definedName>
    <definedName name="an.reng">'[10]Harsat-2009'!#REF!</definedName>
    <definedName name="an.rost">'[10]Harsat-2009'!#REF!</definedName>
    <definedName name="an.sloop_praktis">#REF!</definedName>
    <definedName name="an.spandex">'[10]Harsat-2009'!#REF!</definedName>
    <definedName name="an.tali_a">'[10]Harsat-2009'!#REF!</definedName>
    <definedName name="an.tiang">'[12]Harga Satuan'!$K$112</definedName>
    <definedName name="an.tpan">'[10]Harsat-2009'!#REF!</definedName>
    <definedName name="an.urugbali">#REF!</definedName>
    <definedName name="an.urugp">#REF!</definedName>
    <definedName name="an.urugt">#REF!</definedName>
    <definedName name="an.usuk">'[10]Harsat-2009'!#REF!</definedName>
    <definedName name="an_aci">#REF!</definedName>
    <definedName name="an_bata">#REF!</definedName>
    <definedName name="an_bataco">#REF!</definedName>
    <definedName name="an_batu_kali">#REF!</definedName>
    <definedName name="an_batu_kosong">#REF!</definedName>
    <definedName name="an_plaster">#REF!</definedName>
    <definedName name="an_taliair">#REF!</definedName>
    <definedName name="analisas">#REF!</definedName>
    <definedName name="angkor">#REF!</definedName>
    <definedName name="APK">'[9]bahan '!$B$167</definedName>
    <definedName name="aq">'[13]DAF-1'!#REF!</definedName>
    <definedName name="arde">#REF!</definedName>
    <definedName name="as">'[14]DAF-1'!#REF!</definedName>
    <definedName name="asa">#REF!</definedName>
    <definedName name="asbes">'[3]Harga Material'!$G$96</definedName>
    <definedName name="asbes_1">[8]HB!#REF!</definedName>
    <definedName name="Asdat">'[15]HB '!#REF!</definedName>
    <definedName name="Asdat_1">[8]HB!#REF!</definedName>
    <definedName name="asgel5">#REF!</definedName>
    <definedName name="asgel5mm">'[15]HB '!#REF!</definedName>
    <definedName name="asgel5mm_1">[8]HB!#REF!</definedName>
    <definedName name="asgel6">#REF!</definedName>
    <definedName name="asgel6mm">'[7]HB '!$F$9</definedName>
    <definedName name="asgel6mm_1">[8]HB!#REF!</definedName>
    <definedName name="aspal">'[3]Harga Material'!#REF!</definedName>
    <definedName name="aswung4mm">'[7]HB '!$F$10</definedName>
    <definedName name="aswung4mm_1">[8]HB!#REF!</definedName>
    <definedName name="aswung5mm">'[15]HB '!#REF!</definedName>
    <definedName name="aswung5mm_1">[8]HB!#REF!</definedName>
    <definedName name="ATAP">#REF!</definedName>
    <definedName name="ATC">'[9]bahan '!$B$162</definedName>
    <definedName name="ATK">'[9]bahan '!$B$160</definedName>
    <definedName name="avaur">#REF!</definedName>
    <definedName name="avaur_1">[8]HB!#REF!</definedName>
    <definedName name="aw">#REF!</definedName>
    <definedName name="b">#REF!</definedName>
    <definedName name="B_1">#REF!</definedName>
    <definedName name="b_ringan">'[3]Harga Material'!$G$98</definedName>
    <definedName name="BAGIAN_1">'[16]Daf 1'!$K$423</definedName>
    <definedName name="BAHAN">#REF!</definedName>
    <definedName name="baja">#REF!</definedName>
    <definedName name="bakmandi">'[7]HB '!$F$160</definedName>
    <definedName name="bakmandi_1">[8]HB!#REF!</definedName>
    <definedName name="baktraso">#REF!</definedName>
    <definedName name="base">#REF!</definedName>
    <definedName name="bata">#REF!</definedName>
    <definedName name="bata_1">[8]HB!#REF!</definedName>
    <definedName name="batako">'[3]Harga Material'!$G$19</definedName>
    <definedName name="BATU">#REF!</definedName>
    <definedName name="batukal">#REF!</definedName>
    <definedName name="batukali">'[12]Harga Material'!$G$14</definedName>
    <definedName name="batukar">'[3]Harga Material'!#REF!</definedName>
    <definedName name="bautasb">#REF!</definedName>
    <definedName name="bautbgl">#REF!</definedName>
    <definedName name="BAX">#REF!</definedName>
    <definedName name="BBX">#REF!</definedName>
    <definedName name="BCX">#REF!</definedName>
    <definedName name="bdia6">#REF!</definedName>
    <definedName name="bekisting">#REF!</definedName>
    <definedName name="bendrat">#REF!</definedName>
    <definedName name="bendrat_1">[8]HB!#REF!</definedName>
    <definedName name="besi">#REF!</definedName>
    <definedName name="besi_L">#REF!</definedName>
    <definedName name="besibeton">[17]ANALISA!#REF!</definedName>
    <definedName name="betagum">#REF!</definedName>
    <definedName name="BETON">#REF!</definedName>
    <definedName name="beton123">[17]ANALISA!#REF!</definedName>
    <definedName name="betonmix">'[3]Harga Material'!$G$24</definedName>
    <definedName name="bgkrbekisting">[17]ANALISA!#REF!</definedName>
    <definedName name="bgst_balok">#REF!</definedName>
    <definedName name="bgst_kolom">#REF!</definedName>
    <definedName name="bgst_kolom_praktis">#REF!</definedName>
    <definedName name="bgst_plat_lt">#REF!</definedName>
    <definedName name="bgst_slof">#REF!</definedName>
    <definedName name="BJ">#REF!</definedName>
    <definedName name="bnbh">[18]BAHAN!#REF!</definedName>
    <definedName name="BQ">#REF!</definedName>
    <definedName name="bqcor">#REF!</definedName>
    <definedName name="brc">#REF!</definedName>
    <definedName name="BS">#REF!</definedName>
    <definedName name="bs100med">#REF!</definedName>
    <definedName name="bs15med">#REF!</definedName>
    <definedName name="bs20med">#REF!</definedName>
    <definedName name="bs25med">#REF!</definedName>
    <definedName name="bs32med">#REF!</definedName>
    <definedName name="bs40med">#REF!</definedName>
    <definedName name="bs50med">#REF!</definedName>
    <definedName name="bs65med">#REF!</definedName>
    <definedName name="bs75med">#REF!</definedName>
    <definedName name="bsbtn">#REF!</definedName>
    <definedName name="bsbtn_1">[8]HB!#REF!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plat">#REF!</definedName>
    <definedName name="bssiku">#REF!</definedName>
    <definedName name="bswf">#REF!</definedName>
    <definedName name="bswf150">#REF!</definedName>
    <definedName name="btblh">#REF!</definedName>
    <definedName name="btblh_1">[8]HB!#REF!</definedName>
    <definedName name="btgebal">#REF!</definedName>
    <definedName name="btkali">#REF!</definedName>
    <definedName name="btnremik">[19]ANALISA!#REF!</definedName>
    <definedName name="bubung">#REF!</definedName>
    <definedName name="bubung_1">[8]HB!#REF!</definedName>
    <definedName name="bubungbtn">#REF!</definedName>
    <definedName name="buis50">'[12]Harga Material'!$G$9</definedName>
    <definedName name="buis60">'[3]Harga Material'!$G$23</definedName>
    <definedName name="buiso100">#REF!</definedName>
    <definedName name="buiso20">#REF!</definedName>
    <definedName name="buiso40">#REF!</definedName>
    <definedName name="buiso50">#REF!</definedName>
    <definedName name="buiso80">#REF!</definedName>
    <definedName name="buisu20">#REF!</definedName>
    <definedName name="buisu30">#REF!</definedName>
    <definedName name="buisu60">#REF!</definedName>
    <definedName name="Bust">#N/A</definedName>
    <definedName name="C_1">#REF!</definedName>
    <definedName name="C_2">#REF!</definedName>
    <definedName name="cals_4_mm">#REF!</definedName>
    <definedName name="canal150">#REF!</definedName>
    <definedName name="canal150_1">[8]HB!#REF!</definedName>
    <definedName name="casf80">#REF!</definedName>
    <definedName name="catbesi">#REF!</definedName>
    <definedName name="catdul_alkili">'[3]Harga Material'!$G$70</definedName>
    <definedName name="catdul_alkili_L">'[3]Harga Material'!$G$71</definedName>
    <definedName name="catdul_P">'[3]Harga Material'!$G$68</definedName>
    <definedName name="catdul_W">'[3]Harga Material'!$G$69</definedName>
    <definedName name="catgenteng">#REF!</definedName>
    <definedName name="catkayu">#REF!</definedName>
    <definedName name="catmeni">#REF!</definedName>
    <definedName name="cattbk">#REF!</definedName>
    <definedName name="cattemb">'[3]Harga Material'!#REF!</definedName>
    <definedName name="cc">#REF!</definedName>
    <definedName name="cemara">'[7]HB '!$F$184</definedName>
    <definedName name="cemara_1">[8]HB!#REF!</definedName>
    <definedName name="cenposalm">#REF!</definedName>
    <definedName name="cenposstel">#REF!</definedName>
    <definedName name="cmas18">#REF!</definedName>
    <definedName name="cmas20">#REF!</definedName>
    <definedName name="cmas25">#REF!</definedName>
    <definedName name="cmas58">#REF!</definedName>
    <definedName name="CNP_10">'[10]Harga Material'!$G$52</definedName>
    <definedName name="CNP_12.5">#REF!</definedName>
    <definedName name="CNP_15">'[10]Harga Material'!$G$54</definedName>
    <definedName name="compon">#REF!</definedName>
    <definedName name="Continue">#N/A</definedName>
    <definedName name="cor">#REF!</definedName>
    <definedName name="cupper">#REF!</definedName>
    <definedName name="D">#REF!</definedName>
    <definedName name="D_1">#REF!</definedName>
    <definedName name="dasarcat">'[3]Harga Material'!#REF!</definedName>
    <definedName name="DAX">#REF!</definedName>
    <definedName name="DBX">#REF!</definedName>
    <definedName name="DCX">#REF!</definedName>
    <definedName name="DDX">#REF!</definedName>
    <definedName name="dede">#REF!</definedName>
    <definedName name="dempul">#REF!</definedName>
    <definedName name="dempul_1">[8]HB!#REF!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ved">#REF!</definedName>
    <definedName name="dindingpre">'[12]Harga Material'!$G$28</definedName>
    <definedName name="DLL">#REF!</definedName>
    <definedName name="dnpntalm">#REF!</definedName>
    <definedName name="Document_array" localSheetId="5">{"Book1","RAB PASAR 30 AUG SCRAB.xls"}</definedName>
    <definedName name="Document_array" localSheetId="0">{"Book1","RAB PASAR 30 AUG SCRAB.xls"}</definedName>
    <definedName name="Document_array">{"Book1","RAB PASAR 30 AUG SCRAB.xls"}</definedName>
    <definedName name="Documents_array">#N/A</definedName>
    <definedName name="dolken">'[15]HB '!#REF!</definedName>
    <definedName name="dolken_1">[8]HB!#REF!</definedName>
    <definedName name="Drain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E">#REF!</definedName>
    <definedName name="E_1">#REF!</definedName>
    <definedName name="EEX">#REF!</definedName>
    <definedName name="EFX">#REF!</definedName>
    <definedName name="EGX">#REF!</definedName>
    <definedName name="EHX">#REF!</definedName>
    <definedName name="EJX">#REF!</definedName>
    <definedName name="EKX">#REF!</definedName>
    <definedName name="elek">#REF!</definedName>
    <definedName name="ELX">#REF!</definedName>
    <definedName name="engjen">#REF!</definedName>
    <definedName name="engpin">#REF!</definedName>
    <definedName name="engsel">#REF!</definedName>
    <definedName name="engselh">'[7]HB '!$F$176</definedName>
    <definedName name="engselh_1">[8]HB!#REF!</definedName>
    <definedName name="engselkun">'[4]HB '!$F$177</definedName>
    <definedName name="engselkun_1">[8]HB!#REF!</definedName>
    <definedName name="espyl">#REF!</definedName>
    <definedName name="eternit">#REF!</definedName>
    <definedName name="eternit_1">[8]HB!#REF!</definedName>
    <definedName name="Excel_BuiltIn_Print_Area_10">#REF!</definedName>
    <definedName name="Excel_BuiltIn_Print_Area_10_1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8">#REF!</definedName>
    <definedName name="Excel_BuiltIn_Print_Area_9">#REF!</definedName>
    <definedName name="EXTRA">#REF!</definedName>
    <definedName name="fall" localSheetId="6" hidden="1">#REF!</definedName>
    <definedName name="fall" localSheetId="1" hidden="1">#REF!</definedName>
    <definedName name="fall" localSheetId="3" hidden="1">#REF!</definedName>
    <definedName name="fall" localSheetId="2" hidden="1">#REF!</definedName>
    <definedName name="fall" hidden="1">#REF!</definedName>
    <definedName name="fd" localSheetId="6" hidden="1">#REF!</definedName>
    <definedName name="fd" localSheetId="1" hidden="1">#REF!</definedName>
    <definedName name="fd" localSheetId="3" hidden="1">#REF!</definedName>
    <definedName name="fd" localSheetId="2" hidden="1">#REF!</definedName>
    <definedName name="fd" hidden="1">#REF!</definedName>
    <definedName name="feco25">#REF!</definedName>
    <definedName name="fedc2">#REF!</definedName>
    <definedName name="fedc35">#REF!</definedName>
    <definedName name="FEX">#REF!</definedName>
    <definedName name="ff" localSheetId="6" hidden="1">#REF!</definedName>
    <definedName name="ff" localSheetId="1" hidden="1">#REF!</definedName>
    <definedName name="ff" localSheetId="3" hidden="1">#REF!</definedName>
    <definedName name="ff" localSheetId="2" hidden="1">#REF!</definedName>
    <definedName name="ff" hidden="1">#REF!</definedName>
    <definedName name="FFX">#REF!</definedName>
    <definedName name="FGX">#REF!</definedName>
    <definedName name="FHX">#REF!</definedName>
    <definedName name="fiber">#REF!</definedName>
    <definedName name="fill" localSheetId="6" hidden="1">#REF!</definedName>
    <definedName name="fill" localSheetId="1" hidden="1">#REF!</definedName>
    <definedName name="fill" localSheetId="3" hidden="1">#REF!</definedName>
    <definedName name="fill" localSheetId="2" hidden="1">#REF!</definedName>
    <definedName name="fill" hidden="1">#REF!</definedName>
    <definedName name="fin_mel">'[10]Harga Material'!$G$176</definedName>
    <definedName name="fin_pol">#REF!</definedName>
    <definedName name="fin_Tekst">#REF!</definedName>
    <definedName name="fin_UPL">#REF!</definedName>
    <definedName name="firkan">#REF!</definedName>
    <definedName name="FIRST_FLOOR">#REF!</definedName>
    <definedName name="FJX">#REF!</definedName>
    <definedName name="fkx">#REF!</definedName>
    <definedName name="Flap_jack">#REF!</definedName>
    <definedName name="flx">#REF!</definedName>
    <definedName name="fold">#REF!</definedName>
    <definedName name="fsvd100">#REF!</definedName>
    <definedName name="fsvd150">#REF!</definedName>
    <definedName name="fsvd65">#REF!</definedName>
    <definedName name="FURNITURE__FURNISHING">#REF!</definedName>
    <definedName name="G224.">'[20]Analis Kusen 1 ESKALASI'!#REF!</definedName>
    <definedName name="galv25">#REF!</definedName>
    <definedName name="galv4">#REF!</definedName>
    <definedName name="galvanis3">#REF!</definedName>
    <definedName name="galvanis3_1">[8]HB!#REF!</definedName>
    <definedName name="gblock">'[3]Harga Material'!$G$95</definedName>
    <definedName name="gembok">'[7]HB '!$F$172</definedName>
    <definedName name="gembok_1">[8]HB!#REF!</definedName>
    <definedName name="genteng">#REF!</definedName>
    <definedName name="genteng_1">[8]HB!#REF!</definedName>
    <definedName name="gentengbtn">'[15]HB '!#REF!</definedName>
    <definedName name="gentengbtn_1">[8]HB!#REF!</definedName>
    <definedName name="gentenggs">#REF!</definedName>
    <definedName name="GFMHG">'[21]HB '!#REF!</definedName>
    <definedName name="gip100med">#REF!</definedName>
    <definedName name="gip15med">#REF!</definedName>
    <definedName name="gip20med">#REF!</definedName>
    <definedName name="gip25med">#REF!</definedName>
    <definedName name="gip32med">#REF!</definedName>
    <definedName name="gip40med">#REF!</definedName>
    <definedName name="gip50med">#REF!</definedName>
    <definedName name="gip65med">#REF!</definedName>
    <definedName name="gip75med">#REF!</definedName>
    <definedName name="gorbos">#REF!</definedName>
    <definedName name="govpd15">#REF!</definedName>
    <definedName name="GRAND_PALEMBANG_HOTEL___PALEMBANG">#REF!</definedName>
    <definedName name="grass">#REF!</definedName>
    <definedName name="grass2020">'[15]HB '!#REF!</definedName>
    <definedName name="grass2020_1">[8]HB!#REF!</definedName>
    <definedName name="grc">#REF!</definedName>
    <definedName name="grendalfa">'[15]HB '!#REF!</definedName>
    <definedName name="grendalfa_1">[8]HB!#REF!</definedName>
    <definedName name="grendbiasa">'[4]HB '!$F$178</definedName>
    <definedName name="grendbiasa_1">[8]HB!#REF!</definedName>
    <definedName name="grendel">#REF!</definedName>
    <definedName name="GROUND_FLOOR">#REF!</definedName>
    <definedName name="Grount_tank">#REF!</definedName>
    <definedName name="gsekring">#REF!</definedName>
    <definedName name="gunting">'[3]Harga Material'!$G$158</definedName>
    <definedName name="gypsum">#REF!</definedName>
    <definedName name="gypsum_1">[8]HB!#REF!</definedName>
    <definedName name="HABE">#REF!</definedName>
    <definedName name="hAGApINTU">'[22]Daf 1'!$K$423</definedName>
    <definedName name="hakangin">#REF!</definedName>
    <definedName name="hakangin_1">[8]HB!#REF!</definedName>
    <definedName name="handle">'[7]HB '!$F$175</definedName>
    <definedName name="handle_1">[8]HB!#REF!</definedName>
    <definedName name="hard">'[3]Harga Material'!$G$16</definedName>
    <definedName name="harmonika">'[4]HB '!$F$68</definedName>
    <definedName name="harmonika_1">[8]HB!#REF!</definedName>
    <definedName name="hb">#REF!</definedName>
    <definedName name="hdljend">#REF!</definedName>
    <definedName name="hdw">#REF!</definedName>
    <definedName name="Hello">#N/A</definedName>
    <definedName name="hil">#REF!</definedName>
    <definedName name="hj">#REF!</definedName>
    <definedName name="hol2x4">#REF!</definedName>
    <definedName name="hol4x4">#REF!</definedName>
    <definedName name="hspt">#REF!</definedName>
    <definedName name="hsut">#REF!</definedName>
    <definedName name="hswt">#REF!</definedName>
    <definedName name="htl1e30">#REF!</definedName>
    <definedName name="htl2e30">#REF!</definedName>
    <definedName name="htl3e30">#REF!</definedName>
    <definedName name="hu">#REF!</definedName>
    <definedName name="ihb">#REF!</definedName>
    <definedName name="ihbl">#REF!</definedName>
    <definedName name="ijuk">#REF!</definedName>
    <definedName name="ijuk_1">[8]HB!#REF!</definedName>
    <definedName name="j">#REF!</definedName>
    <definedName name="jaga">'[15]HB '!#REF!</definedName>
    <definedName name="jaga_1">[8]HB!#REF!</definedName>
    <definedName name="JASA">#REF!</definedName>
    <definedName name="jatiblk">#REF!</definedName>
    <definedName name="jatippn">#REF!</definedName>
    <definedName name="JEFTA">#REF!</definedName>
    <definedName name="JJ">'[23]DAF-1'!#REF!</definedName>
    <definedName name="join">#REF!</definedName>
    <definedName name="K">#REF!</definedName>
    <definedName name="k_250">#REF!</definedName>
    <definedName name="kaca10">'[3]Harga Material'!#REF!</definedName>
    <definedName name="kaca10tp">'[3]Harga Material'!#REF!</definedName>
    <definedName name="kaca5">'[3]Harga Material'!#REF!</definedName>
    <definedName name="kaca8">'[3]Harga Material'!#REF!</definedName>
    <definedName name="kain_comp">#REF!</definedName>
    <definedName name="kait">#REF!</definedName>
    <definedName name="kansteen">'[4]HB '!$F$56</definedName>
    <definedName name="kansteen_1">[8]HB!#REF!</definedName>
    <definedName name="kanstein">#REF!</definedName>
    <definedName name="kanstin">#REF!</definedName>
    <definedName name="kapur">#REF!</definedName>
    <definedName name="kasa">#REF!</definedName>
    <definedName name="kasa_1">[8]HB!#REF!</definedName>
    <definedName name="KASBUN" localSheetId="5">{"Book1","RAB PASAR 30 AUG SCRAB.xls"}</definedName>
    <definedName name="KASBUN" localSheetId="0">{"Book1","RAB PASAR 30 AUG SCRAB.xls"}</definedName>
    <definedName name="KASBUN">{"Book1","RAB PASAR 30 AUG SCRAB.xls"}</definedName>
    <definedName name="kawat">'[3]Harga Material'!$G$58</definedName>
    <definedName name="kayubeng">'[10]Harga Material'!$G$34</definedName>
    <definedName name="kayukam">'[3]Harga Material'!$G$29</definedName>
    <definedName name="kayukru">#REF!</definedName>
    <definedName name="kayumer">'[3]Harga Material'!$G$32</definedName>
    <definedName name="kayumerbau">#REF!</definedName>
    <definedName name="kblnym">#REF!</definedName>
    <definedName name="kccermin3">#REF!</definedName>
    <definedName name="kcpolos3">#REF!</definedName>
    <definedName name="kcpolos5">#REF!</definedName>
    <definedName name="kd">#REF!</definedName>
    <definedName name="ken">#REF!</definedName>
    <definedName name="keptkbatu">'[7]HB '!$F$199</definedName>
    <definedName name="keptkbatu_1">[8]HB!#REF!</definedName>
    <definedName name="keptkbesi">'[7]HB '!$F$200</definedName>
    <definedName name="keptkbesi_1">[8]HB!#REF!</definedName>
    <definedName name="keptkkayu">'[4]HB '!$F$198</definedName>
    <definedName name="keptkkayu_1">[8]HB!#REF!</definedName>
    <definedName name="ker2020_1">[8]HB!#REF!</definedName>
    <definedName name="ker2025_1">[8]HB!#REF!</definedName>
    <definedName name="ker3030_1">[8]HB!#REF!</definedName>
    <definedName name="ker3030es">#REF!</definedName>
    <definedName name="ker40_1">[8]HB!#REF!</definedName>
    <definedName name="kertile">'[15]HB '!#REF!</definedName>
    <definedName name="kertile_1">[8]HB!#REF!</definedName>
    <definedName name="kloset">'[4]HB '!$F$156</definedName>
    <definedName name="kloset_1">[8]HB!#REF!</definedName>
    <definedName name="klosjong">#REF!</definedName>
    <definedName name="knee">#REF!</definedName>
    <definedName name="knee_1">[8]HB!#REF!</definedName>
    <definedName name="ko">[24]HB!#REF!</definedName>
    <definedName name="KODE">#REF!</definedName>
    <definedName name="KOEF">[25]Analisa!$L$10</definedName>
    <definedName name="koef1">#REF!</definedName>
    <definedName name="koeflingg">#REF!</definedName>
    <definedName name="koeflingk">#REF!</definedName>
    <definedName name="kof">#REF!</definedName>
    <definedName name="KOL">[26]Bahan!$K$7</definedName>
    <definedName name="koling">#REF!</definedName>
    <definedName name="kolompre">'[12]Harga Material'!$G$27</definedName>
    <definedName name="kolter">#REF!</definedName>
    <definedName name="KOM">[26]HB!$H$5</definedName>
    <definedName name="kome">'[27]RAB ME'!$L$13</definedName>
    <definedName name="konstbaja">#REF!</definedName>
    <definedName name="KOP">#REF!</definedName>
    <definedName name="koral">#REF!</definedName>
    <definedName name="koral15">#REF!</definedName>
    <definedName name="koralpie">'[3]Harga Material'!#REF!</definedName>
    <definedName name="kprblk">#REF!</definedName>
    <definedName name="kprblk_1">[8]HB!#REF!</definedName>
    <definedName name="kprppn">#REF!</definedName>
    <definedName name="kprreng">#REF!</definedName>
    <definedName name="kprusuk">#REF!</definedName>
    <definedName name="kran">'[4]HB '!$F$157</definedName>
    <definedName name="kran_1">[8]HB!#REF!</definedName>
    <definedName name="kranshow">#REF!</definedName>
    <definedName name="kranwas">#REF!</definedName>
    <definedName name="kruing">#REF!</definedName>
    <definedName name="KT">#REF!</definedName>
    <definedName name="kuas">#REF!</definedName>
    <definedName name="kunci">#REF!</definedName>
    <definedName name="kunci_1">[8]HB!#REF!</definedName>
    <definedName name="kuncipin">#REF!</definedName>
    <definedName name="kuncipnt">#REF!</definedName>
    <definedName name="kunciwc">'[3]Harga Material'!#REF!</definedName>
    <definedName name="kunctoil">#REF!</definedName>
    <definedName name="KURUG">#REF!</definedName>
    <definedName name="KUSEN__PINTU__JENDELA__ALAT_ALAT_PENGGANTUNG_DAN_CURTAIN_WALL">#REF!</definedName>
    <definedName name="kusenbeng">#REF!</definedName>
    <definedName name="kwas">#REF!</definedName>
    <definedName name="ky">#REF!</definedName>
    <definedName name="kygelam">#REF!</definedName>
    <definedName name="l">'[13]DAF-1'!#REF!</definedName>
    <definedName name="LANTAI_P3">#REF!</definedName>
    <definedName name="lbowpvc4">#REF!</definedName>
    <definedName name="lem">#REF!</definedName>
    <definedName name="lem_knig">#REF!</definedName>
    <definedName name="lemfox">'[4]HB '!$F$101</definedName>
    <definedName name="lemfox_1">[8]HB!#REF!</definedName>
    <definedName name="lemkayu">#REF!</definedName>
    <definedName name="lempvc">#REF!</definedName>
    <definedName name="lime">'[3]Harga Material'!$G$9</definedName>
    <definedName name="lisgyp">#REF!</definedName>
    <definedName name="lispla">'[15]HB '!#REF!</definedName>
    <definedName name="lispla_1">[8]HB!#REF!</definedName>
    <definedName name="listgypsum">'[4]HB '!$F$13</definedName>
    <definedName name="listgypsum_1">[8]HB!#REF!</definedName>
    <definedName name="listpla">#REF!</definedName>
    <definedName name="ljjj">[28]HB!$E$78</definedName>
    <definedName name="lmp25w">'[15]HB '!#REF!</definedName>
    <definedName name="lmp25w_1">[8]HB!#REF!</definedName>
    <definedName name="LOBBY">#REF!</definedName>
    <definedName name="LS">'[29]DAF-1'!#REF!</definedName>
    <definedName name="Luas_Bangunan">#REF!</definedName>
    <definedName name="M">#REF!</definedName>
    <definedName name="mandor">'[4]HB '!$F$197</definedName>
    <definedName name="mandor_1">[8]HB!#REF!</definedName>
    <definedName name="mani">#REF!</definedName>
    <definedName name="mark_up">#REF!</definedName>
    <definedName name="MARKUP">#REF!</definedName>
    <definedName name="mat">#REF!</definedName>
    <definedName name="mdr">#REF!</definedName>
    <definedName name="ME">#REF!</definedName>
    <definedName name="mep">#REF!</definedName>
    <definedName name="meuble">#REF!</definedName>
    <definedName name="minyakcat">#REF!</definedName>
    <definedName name="mixer">'[3]Harga Material'!$G$156</definedName>
    <definedName name="mixer_1">[8]HB!#REF!</definedName>
    <definedName name="mosaic_8.5">#REF!</definedName>
    <definedName name="mt">[30]HB!$F$78</definedName>
    <definedName name="Muck_up_stdr">#REF!</definedName>
    <definedName name="multiplek12">'[4]HB '!$F$23</definedName>
    <definedName name="multiplek12_1">[8]HB!#REF!</definedName>
    <definedName name="murbaut12">#REF!</definedName>
    <definedName name="murbaut16">#REF!</definedName>
    <definedName name="murbaut19">#REF!</definedName>
    <definedName name="murbaut22">#REF!</definedName>
    <definedName name="murbautklem">#REF!</definedName>
    <definedName name="N">'[31]DAF-1'!#REF!</definedName>
    <definedName name="naco">#REF!</definedName>
    <definedName name="nako">'[7]HB '!$F$119</definedName>
    <definedName name="nako_1">[8]HB!#REF!</definedName>
    <definedName name="nn">[32]HB!#REF!</definedName>
    <definedName name="nokstel">#REF!</definedName>
    <definedName name="OPERATING_EQUIPMENT">#REF!</definedName>
    <definedName name="ot">#REF!</definedName>
    <definedName name="overtime">#REF!</definedName>
    <definedName name="p">'[33]DAF-1'!#REF!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garbrc">#REF!</definedName>
    <definedName name="PAKET">#REF!</definedName>
    <definedName name="pakf100">#REF!</definedName>
    <definedName name="pakf150">#REF!</definedName>
    <definedName name="pakf80">#REF!</definedName>
    <definedName name="paku">'[4]HB '!$F$148</definedName>
    <definedName name="paku_1">[8]HB!#REF!</definedName>
    <definedName name="paku1">#REF!</definedName>
    <definedName name="paku2">#REF!</definedName>
    <definedName name="pakuasb">#REF!</definedName>
    <definedName name="pakuasb_1">[8]HB!#REF!</definedName>
    <definedName name="palm">'[4]HB '!$F$183</definedName>
    <definedName name="palm_1">[8]HB!#REF!</definedName>
    <definedName name="pancang">#REF!</definedName>
    <definedName name="panelmcb">'[15]HB '!#REF!</definedName>
    <definedName name="panelmcb_1">[8]HB!#REF!</definedName>
    <definedName name="pas.pvc">#REF!</definedName>
    <definedName name="pascor">#REF!</definedName>
    <definedName name="pasir">'[12]Harga Material'!$G$11</definedName>
    <definedName name="paspas">'[3]Harga Material'!$G$11</definedName>
    <definedName name="pasurug">'[3]Harga Material'!$G$10</definedName>
    <definedName name="pavabu6">#REF!</definedName>
    <definedName name="pavabu8">#REF!</definedName>
    <definedName name="paving">#REF!</definedName>
    <definedName name="payung">#REF!</definedName>
    <definedName name="pb6abu">'[4]HB '!#REF!</definedName>
    <definedName name="pb6abu_1">[8]HB!#REF!</definedName>
    <definedName name="pb6abu3">'[15]HB '!#REF!</definedName>
    <definedName name="pb6abu3_1">[8]HB!#REF!</definedName>
    <definedName name="pb6merah">'[4]HB '!#REF!</definedName>
    <definedName name="pb6merah_1">[8]HB!#REF!</definedName>
    <definedName name="pb8abu">#REF!</definedName>
    <definedName name="pb8abu_1">[8]HB!#REF!</definedName>
    <definedName name="pb8merah">'[4]HB '!#REF!</definedName>
    <definedName name="pb8merah_1">[8]HB!#REF!</definedName>
    <definedName name="pbsf100">#REF!</definedName>
    <definedName name="pbsf150">#REF!</definedName>
    <definedName name="pbsf65">#REF!</definedName>
    <definedName name="pbsf80">#REF!</definedName>
    <definedName name="pc_bsw">#REF!</definedName>
    <definedName name="pc_gr">#REF!</definedName>
    <definedName name="pc_tr">#REF!</definedName>
    <definedName name="pcgr">#REF!</definedName>
    <definedName name="pcwar">'[3]Harga Material'!$G$15</definedName>
    <definedName name="PD">#REF!</definedName>
    <definedName name="PEK">#REF!</definedName>
    <definedName name="pekerja">#REF!</definedName>
    <definedName name="pekerja_1">[8]HB!#REF!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gc">#REF!</definedName>
    <definedName name="pijar">#REF!</definedName>
    <definedName name="pipabs2">#REF!</definedName>
    <definedName name="piparel25">#REF!</definedName>
    <definedName name="PK">#REF!</definedName>
    <definedName name="pkgyp">#REF!</definedName>
    <definedName name="pklis">#REF!</definedName>
    <definedName name="pkpmp">#REF!</definedName>
    <definedName name="pkreng">'[3]Harga Material'!$G$53</definedName>
    <definedName name="pkskr">#REF!</definedName>
    <definedName name="pkusuk">'[3]Harga Material'!$G$54</definedName>
    <definedName name="plamirkayu">#REF!</definedName>
    <definedName name="plamirtbk">#REF!</definedName>
    <definedName name="plamurk">#REF!</definedName>
    <definedName name="plamurt">'[3]Harga Material'!$G$62</definedName>
    <definedName name="plastik">'[4]HB '!$F$187</definedName>
    <definedName name="plastik_1">[8]HB!#REF!</definedName>
    <definedName name="platbordes">#REF!</definedName>
    <definedName name="platbordes_1">[8]HB!#REF!</definedName>
    <definedName name="platstrip">'[4]HB '!$F$65</definedName>
    <definedName name="platstrip_1">[8]HB!#REF!</definedName>
    <definedName name="plincot">#REF!</definedName>
    <definedName name="plum">#REF!</definedName>
    <definedName name="pn10agru100">#REF!</definedName>
    <definedName name="pn10agru15">#REF!</definedName>
    <definedName name="pn10agru20">#REF!</definedName>
    <definedName name="pn10agru25">#REF!</definedName>
    <definedName name="pn10agru32">#REF!</definedName>
    <definedName name="pn10agru40">#REF!</definedName>
    <definedName name="pn10agru50">#REF!</definedName>
    <definedName name="pn10agru65">#REF!</definedName>
    <definedName name="pn10agru75">#REF!</definedName>
    <definedName name="pn10s40">#REF!</definedName>
    <definedName name="pn10sd100">#REF!</definedName>
    <definedName name="pn10sd15">#REF!</definedName>
    <definedName name="pn10sd20">#REF!</definedName>
    <definedName name="pn10sd25">#REF!</definedName>
    <definedName name="pn10sd32">#REF!</definedName>
    <definedName name="pn10sd50">#REF!</definedName>
    <definedName name="pn10sd65">#REF!</definedName>
    <definedName name="pn10sd75">#REF!</definedName>
    <definedName name="pn10wav100">#REF!</definedName>
    <definedName name="pn10wav15">#REF!</definedName>
    <definedName name="pn10wav20">#REF!</definedName>
    <definedName name="pn10wav25">#REF!</definedName>
    <definedName name="pn10wav32">#REF!</definedName>
    <definedName name="pn10wav40">#REF!</definedName>
    <definedName name="pn10wav50">#REF!</definedName>
    <definedName name="pn10wav65">#REF!</definedName>
    <definedName name="pn10wav75">#REF!</definedName>
    <definedName name="pn20agru100">#REF!</definedName>
    <definedName name="pn20agru15">#REF!</definedName>
    <definedName name="pn20agru20">#REF!</definedName>
    <definedName name="pn20agru25">#REF!</definedName>
    <definedName name="pn20agru32">#REF!</definedName>
    <definedName name="pn20agru40">#REF!</definedName>
    <definedName name="pn20agru50">#REF!</definedName>
    <definedName name="pn20agru65">#REF!</definedName>
    <definedName name="pn20agru75">#REF!</definedName>
    <definedName name="pn20sd100">#REF!</definedName>
    <definedName name="pn20sd15">#REF!</definedName>
    <definedName name="pn20sd20">#REF!</definedName>
    <definedName name="pn20sd25">#REF!</definedName>
    <definedName name="pn20sd32">#REF!</definedName>
    <definedName name="pn20sd40">#REF!</definedName>
    <definedName name="pn20sd50">#REF!</definedName>
    <definedName name="pn20sd65">#REF!</definedName>
    <definedName name="pn20sd75">#REF!</definedName>
    <definedName name="pn20wav100">#REF!</definedName>
    <definedName name="pn20wav15">#REF!</definedName>
    <definedName name="pn20wav20">#REF!</definedName>
    <definedName name="pn20wav25">#REF!</definedName>
    <definedName name="pn20wav32">#REF!</definedName>
    <definedName name="pn20wav40">#REF!</definedName>
    <definedName name="pn20wav50">#REF!</definedName>
    <definedName name="pn20wav65">#REF!</definedName>
    <definedName name="pn20wav75">#REF!</definedName>
    <definedName name="pntbs">#REF!</definedName>
    <definedName name="pompa">#REF!</definedName>
    <definedName name="pool">#REF!</definedName>
    <definedName name="pph">#REF!</definedName>
    <definedName name="ppn">#REF!</definedName>
    <definedName name="ppnbek">#REF!</definedName>
    <definedName name="ppnbeng">#REF!</definedName>
    <definedName name="ppnjati">'[7]HB '!$F$29</definedName>
    <definedName name="ppnjati_1">[8]HB!#REF!</definedName>
    <definedName name="ppnkam">#REF!</definedName>
    <definedName name="ppnkpr">'[4]HB '!$F$33</definedName>
    <definedName name="ppnkpr_1">[8]HB!#REF!</definedName>
    <definedName name="ppnmer">'[3]Harga Material'!#REF!</definedName>
    <definedName name="ppnmer_1">[8]HB!#REF!</definedName>
    <definedName name="Prelim">#REF!</definedName>
    <definedName name="_xlnm.Print_Area" localSheetId="6">BOQ!$A$1:$S$152</definedName>
    <definedName name="_xlnm.Print_Area" localSheetId="1">'BOQ (Final Harga Kontrak)'!$A$1:$I$152</definedName>
    <definedName name="_xlnm.Print_Area" localSheetId="3">RAB!$A$1:$M$149</definedName>
    <definedName name="_xlnm.Print_Area" localSheetId="5">REKAP!$A$1:$F$25</definedName>
    <definedName name="_xlnm.Print_Area" localSheetId="0">'REKAP (Final Harga Kontrak)'!$A$1:$E$33</definedName>
    <definedName name="_xlnm.Print_Area" localSheetId="2">'Schedule &amp; S-Cuve '!$A$1:$AV$155</definedName>
    <definedName name="_xlnm.Print_Area">#REF!</definedName>
    <definedName name="Print_Area_MI">#REF!</definedName>
    <definedName name="PRINT_TILTES">#REF!</definedName>
    <definedName name="PRINT_TITILES">#REF!</definedName>
    <definedName name="PRINT_TITLE">#REF!</definedName>
    <definedName name="_xlnm.Print_Titles" localSheetId="1">'BOQ (Final Harga Kontrak)'!$1:$9</definedName>
    <definedName name="_xlnm.Print_Titles" localSheetId="3">RAB!$1:$7</definedName>
    <definedName name="Print_Titles_MI">#REF!</definedName>
    <definedName name="PRITN_TITLES">#REF!</definedName>
    <definedName name="PRO">#REF!</definedName>
    <definedName name="proof">#REF!</definedName>
    <definedName name="prs">#REF!</definedName>
    <definedName name="PS">#REF!</definedName>
    <definedName name="psrbtn">'[4]HB '!$F$48</definedName>
    <definedName name="psrbtn_1">[8]HB!#REF!</definedName>
    <definedName name="psrcor">#REF!</definedName>
    <definedName name="psrps">'[4]HB '!$F$49</definedName>
    <definedName name="psrps_1">[8]HB!#REF!</definedName>
    <definedName name="psrurug">'[4]HB '!$F$50</definedName>
    <definedName name="psrurug_1">[8]HB!#REF!</definedName>
    <definedName name="pupuk">'[4]HB '!$F$186</definedName>
    <definedName name="pupuk_1">[8]HB!#REF!</definedName>
    <definedName name="pvcaw100m">#REF!</definedName>
    <definedName name="pvcaw100r">#REF!</definedName>
    <definedName name="pvcaw100w">#REF!</definedName>
    <definedName name="pvcaw100wav">#REF!</definedName>
    <definedName name="pvcaw125m">#REF!</definedName>
    <definedName name="pvcaw125r">#REF!</definedName>
    <definedName name="pvcaw125w">#REF!</definedName>
    <definedName name="pvcaw125wav">#REF!</definedName>
    <definedName name="pvcaw150m">#REF!</definedName>
    <definedName name="pvcaw150r">#REF!</definedName>
    <definedName name="pvcaw150w">#REF!</definedName>
    <definedName name="pvcaw150wav">#REF!</definedName>
    <definedName name="pvcaw15m">#REF!</definedName>
    <definedName name="pvcaw15r">#REF!</definedName>
    <definedName name="pvcaw15w">#REF!</definedName>
    <definedName name="pvcaw15wav">#REF!</definedName>
    <definedName name="pvcaw200m">#REF!</definedName>
    <definedName name="pvcaw200r">#REF!</definedName>
    <definedName name="pvcaw200w">#REF!</definedName>
    <definedName name="pvcaw200wav">#REF!</definedName>
    <definedName name="pvcaw20m">#REF!</definedName>
    <definedName name="pvcaw20r">#REF!</definedName>
    <definedName name="pvcaw20w">#REF!</definedName>
    <definedName name="pvcaw20wav">#REF!</definedName>
    <definedName name="pvcaw250m">#REF!</definedName>
    <definedName name="pvcaw250r">#REF!</definedName>
    <definedName name="pvcaw250wav">#REF!</definedName>
    <definedName name="pvcaw25m">#REF!</definedName>
    <definedName name="pvcaw25r">#REF!</definedName>
    <definedName name="pvcaw25w">#REF!</definedName>
    <definedName name="pvcaw25wav">#REF!</definedName>
    <definedName name="pvcaw300m">#REF!</definedName>
    <definedName name="pvcaw300r">#REF!</definedName>
    <definedName name="pvcaw300w">#REF!</definedName>
    <definedName name="pvcaw300wav">#REF!</definedName>
    <definedName name="pvcaw32m">#REF!</definedName>
    <definedName name="pvcaw32r">#REF!</definedName>
    <definedName name="pvcaw32w">#REF!</definedName>
    <definedName name="pvcaw32wav">#REF!</definedName>
    <definedName name="pvcaw40m">#REF!</definedName>
    <definedName name="pvcaw40r">#REF!</definedName>
    <definedName name="pvcaw40w">#REF!</definedName>
    <definedName name="pvcaw40wav">#REF!</definedName>
    <definedName name="pvcaw50m">#REF!</definedName>
    <definedName name="pvcaw50r">#REF!</definedName>
    <definedName name="pvcaw50w">#REF!</definedName>
    <definedName name="pvcaw50wav">#REF!</definedName>
    <definedName name="pvcaw65m">#REF!</definedName>
    <definedName name="pvcaw65r">#REF!</definedName>
    <definedName name="pvcaw65w">#REF!</definedName>
    <definedName name="pvcaw65wav">#REF!</definedName>
    <definedName name="pvcaw75m">#REF!</definedName>
    <definedName name="pvcaw75r">#REF!</definedName>
    <definedName name="pvcaw75w">#REF!</definedName>
    <definedName name="pvcaw75wav">#REF!</definedName>
    <definedName name="pvcd100m">#REF!</definedName>
    <definedName name="pvcd100r">#REF!</definedName>
    <definedName name="pvcd100w">#REF!</definedName>
    <definedName name="pvcd100wav">#REF!</definedName>
    <definedName name="pvcd125m">#REF!</definedName>
    <definedName name="pvcd125r">#REF!</definedName>
    <definedName name="pvcd125w">#REF!</definedName>
    <definedName name="pvcd125wav">#REF!</definedName>
    <definedName name="pvcd150m">#REF!</definedName>
    <definedName name="pvcd150r">#REF!</definedName>
    <definedName name="pvcd150w">#REF!</definedName>
    <definedName name="pvcd150wav">#REF!</definedName>
    <definedName name="pvcd200m">#REF!</definedName>
    <definedName name="pvcd200r">#REF!</definedName>
    <definedName name="pvcd200w">#REF!</definedName>
    <definedName name="pvcd200wav">#REF!</definedName>
    <definedName name="pvcd250m">#REF!</definedName>
    <definedName name="pvcd250r">#REF!</definedName>
    <definedName name="pvcd250w">#REF!</definedName>
    <definedName name="pvcd250wav">#REF!</definedName>
    <definedName name="pvcd300m">#REF!</definedName>
    <definedName name="pvcd300r">#REF!</definedName>
    <definedName name="pvcd300w">#REF!</definedName>
    <definedName name="pvcd300wav">#REF!</definedName>
    <definedName name="pvcd32m">#REF!</definedName>
    <definedName name="pvcd32w">#REF!</definedName>
    <definedName name="pvcd32wav">#REF!</definedName>
    <definedName name="pvcd40m">#REF!</definedName>
    <definedName name="pvcd40r">#REF!</definedName>
    <definedName name="pvcd40w">#REF!</definedName>
    <definedName name="pvcd40wav">#REF!</definedName>
    <definedName name="pvcd50m">#REF!</definedName>
    <definedName name="pvcd50r">#REF!</definedName>
    <definedName name="pvcd50w">#REF!</definedName>
    <definedName name="pvcd50wav">#REF!</definedName>
    <definedName name="pvcd65m">#REF!</definedName>
    <definedName name="pvcd65r">#REF!</definedName>
    <definedName name="pvcd65w">#REF!</definedName>
    <definedName name="pvcd65wav">#REF!</definedName>
    <definedName name="pvcd75m">#REF!</definedName>
    <definedName name="pvcd75r">#REF!</definedName>
    <definedName name="pvcd75w">#REF!</definedName>
    <definedName name="pvcd75wav">#REF!</definedName>
    <definedName name="RAP">#REF!</definedName>
    <definedName name="rayben3">#REF!</definedName>
    <definedName name="rayben5">#REF!</definedName>
    <definedName name="REAL">#REF!</definedName>
    <definedName name="remix175">#REF!</definedName>
    <definedName name="remix225">#REF!</definedName>
    <definedName name="remix250">'[4]HB '!$F$55</definedName>
    <definedName name="remix250_1">[8]HB!#REF!</definedName>
    <definedName name="rengjati">#REF!</definedName>
    <definedName name="resub">'[34]DAF-1'!#REF!</definedName>
    <definedName name="roldor">#REF!</definedName>
    <definedName name="roldoralm">#REF!</definedName>
    <definedName name="roldorstel">#REF!</definedName>
    <definedName name="roll">'[3]Harga Material'!$G$81</definedName>
    <definedName name="roltba">'[4]HB '!$F$162</definedName>
    <definedName name="roltba_1">[8]HB!#REF!</definedName>
    <definedName name="rost">'[3]Harga Material'!$G$94</definedName>
    <definedName name="roster">#REF!</definedName>
    <definedName name="ROUND">#REF!</definedName>
    <definedName name="Rp">'[4]HB '!#REF!</definedName>
    <definedName name="Rp_1">[8]HB!#REF!</definedName>
    <definedName name="Rucika_Wavin">#REF!</definedName>
    <definedName name="rukan_a">[35]TOWN!#REF!</definedName>
    <definedName name="rukan_aa">[35]TOWN!#REF!</definedName>
    <definedName name="rukan_b">[35]TOWN!#REF!</definedName>
    <definedName name="rukan_c">[35]TOWN!#REF!</definedName>
    <definedName name="rukan_cc">[35]TOWN!#REF!</definedName>
    <definedName name="rukan_d">[35]TOWN!#REF!</definedName>
    <definedName name="rukan_dd">[35]TOWN!#REF!</definedName>
    <definedName name="rukan_e">[35]TOWN!#REF!</definedName>
    <definedName name="rukan_ee">[35]TOWN!#REF!</definedName>
    <definedName name="rumput">'[4]HB '!$F$182</definedName>
    <definedName name="rumput_1">[8]HB!#REF!</definedName>
    <definedName name="S">#REF!</definedName>
    <definedName name="saklarg">'[4]HB '!#REF!</definedName>
    <definedName name="saklarg_1">[8]HB!#REF!</definedName>
    <definedName name="SAMBUNGAN_LISTRIK">#REF!</definedName>
    <definedName name="sayan">#REF!</definedName>
    <definedName name="sc_gyp">#REF!</definedName>
    <definedName name="sekgnd">#REF!</definedName>
    <definedName name="sektgl">#REF!</definedName>
    <definedName name="semen">'[12]Harga Material'!$G$13</definedName>
    <definedName name="semen_1">[8]HB!#REF!</definedName>
    <definedName name="semenpc">#REF!</definedName>
    <definedName name="semenpth">'[4]HB '!#REF!</definedName>
    <definedName name="semenpth_1">[8]HB!#REF!</definedName>
    <definedName name="semenwarna">'[4]HB '!$F$54</definedName>
    <definedName name="semenwarna_1">[8]HB!#REF!</definedName>
    <definedName name="sending">#REF!</definedName>
    <definedName name="sengbjls30">#REF!</definedName>
    <definedName name="senggel">'[4]HB '!#REF!</definedName>
    <definedName name="senggel_1">[8]HB!#REF!</definedName>
    <definedName name="sengplat">#REF!</definedName>
    <definedName name="Septic">#REF!</definedName>
    <definedName name="setgbr">#REF!</definedName>
    <definedName name="sfvd100">#REF!</definedName>
    <definedName name="sheet">#REF!</definedName>
    <definedName name="SIAP">#REF!</definedName>
    <definedName name="sifon">'[4]HB '!$F$161</definedName>
    <definedName name="sifon_1">[8]HB!#REF!</definedName>
    <definedName name="siku40">'[4]HB '!$F$69</definedName>
    <definedName name="siku40_1">[8]HB!#REF!</definedName>
    <definedName name="siku6b">[24]HB!#REF!</definedName>
    <definedName name="siku6k">'[4]HB '!#REF!</definedName>
    <definedName name="siku6k_1">[8]HB!#REF!</definedName>
    <definedName name="siphon">#REF!</definedName>
    <definedName name="sirlak">#REF!</definedName>
    <definedName name="sirtu">#REF!</definedName>
    <definedName name="sit_mix_225">#REF!</definedName>
    <definedName name="skl1e30">#REF!</definedName>
    <definedName name="skl1htl">#REF!</definedName>
    <definedName name="skl2e30">#REF!</definedName>
    <definedName name="skl2htl">#REF!</definedName>
    <definedName name="skl3e30">#REF!</definedName>
    <definedName name="sklrgnd">#REF!</definedName>
    <definedName name="sklrtgl">#REF!</definedName>
    <definedName name="slang">'[4]HB '!$F$163</definedName>
    <definedName name="slang_1">[8]HB!#REF!</definedName>
    <definedName name="slank">#REF!</definedName>
    <definedName name="solven">#REF!</definedName>
    <definedName name="spandex">#REF!</definedName>
    <definedName name="SPEK">#REF!</definedName>
    <definedName name="spirtus">#REF!</definedName>
    <definedName name="spk">#REF!</definedName>
    <definedName name="sten1">#REF!</definedName>
    <definedName name="sten12">'[4]HB '!$F$45</definedName>
    <definedName name="sten12_1">[8]HB!#REF!</definedName>
    <definedName name="sten12t">'[4]HB '!#REF!</definedName>
    <definedName name="sten12t_1">[8]HB!#REF!</definedName>
    <definedName name="sten23">#REF!</definedName>
    <definedName name="sten35">#REF!</definedName>
    <definedName name="sten57">#REF!</definedName>
    <definedName name="stk">#REF!</definedName>
    <definedName name="stk_biasa">#REF!</definedName>
    <definedName name="stk_data">#REF!</definedName>
    <definedName name="stk_lantai">#REF!</definedName>
    <definedName name="stk_telp">#REF!</definedName>
    <definedName name="stk_tlp">#REF!</definedName>
    <definedName name="stk_tv">#REF!</definedName>
    <definedName name="stopkontak">'[4]HB '!#REF!</definedName>
    <definedName name="stopkontak_1">[8]HB!#REF!</definedName>
    <definedName name="stopkontak3">#REF!</definedName>
    <definedName name="sumbat">'[4]HB '!$F$150</definedName>
    <definedName name="sumbat_1">[8]HB!#REF!</definedName>
    <definedName name="t">[36]BHN1!$F$167</definedName>
    <definedName name="t.pan">'[3]Harga Material'!$G$25</definedName>
    <definedName name="t_bs">#REF!</definedName>
    <definedName name="t_bt">#REF!</definedName>
    <definedName name="t_fin">#REF!</definedName>
    <definedName name="t_ky">#REF!</definedName>
    <definedName name="talkaret">#REF!</definedName>
    <definedName name="tanah">#REF!</definedName>
    <definedName name="tanahtaman">'[4]HB '!$F$185</definedName>
    <definedName name="tanahtaman_1">[8]HB!#REF!</definedName>
    <definedName name="TANGGA">#REF!</definedName>
    <definedName name="tape">'[3]Harga Material'!#REF!</definedName>
    <definedName name="TaxTV">10%</definedName>
    <definedName name="TaxXL">5%</definedName>
    <definedName name="TB">#REF!</definedName>
    <definedName name="TBs">#REF!</definedName>
    <definedName name="TC">#REF!</definedName>
    <definedName name="teer">'[4]HB '!$F$104</definedName>
    <definedName name="teer_1">[8]HB!#REF!</definedName>
    <definedName name="tera">#REF!</definedName>
    <definedName name="tglabu2020">#REF!</definedName>
    <definedName name="tgstainlis">#REF!</definedName>
    <definedName name="tiner">#REF!</definedName>
    <definedName name="TK">#REF!</definedName>
    <definedName name="tkbatu">'[4]HB '!$F$203</definedName>
    <definedName name="tkbatu_1">[8]HB!#REF!</definedName>
    <definedName name="tkbesi">'[4]HB '!$F$204</definedName>
    <definedName name="tkbesi_1">[8]HB!#REF!</definedName>
    <definedName name="tkcat">'[4]HB '!$F$205</definedName>
    <definedName name="tkcat_1">[8]HB!#REF!</definedName>
    <definedName name="tkgali">'[4]HB '!$F$201</definedName>
    <definedName name="tkgali_1">[8]HB!#REF!</definedName>
    <definedName name="tkkayu">'[4]HB '!$F$202</definedName>
    <definedName name="tkkayu_1">[8]HB!#REF!</definedName>
    <definedName name="tkledeng">'[37]HB me'!#REF!</definedName>
    <definedName name="tklistrik">'[37]HB me'!#REF!</definedName>
    <definedName name="tkplitur">'[37]HB me'!#REF!</definedName>
    <definedName name="TKY">#REF!</definedName>
    <definedName name="tl1x20">#REF!</definedName>
    <definedName name="tl1x40">#REF!</definedName>
    <definedName name="tl2x20">#REF!</definedName>
    <definedName name="tnhtanam">#REF!</definedName>
    <definedName name="tnhurug">#REF!</definedName>
    <definedName name="total">[30]HB!#REF!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ralis">#REF!</definedName>
    <definedName name="traljend">#REF!</definedName>
    <definedName name="trip110">#REF!</definedName>
    <definedName name="trip120">[24]HB!#REF!</definedName>
    <definedName name="trip18">#REF!</definedName>
    <definedName name="trip4">'[3]Harga Material'!#REF!</definedName>
    <definedName name="trip6">#REF!</definedName>
    <definedName name="trip9">'[3]Harga Material'!$G$37</definedName>
    <definedName name="tripalm110">#REF!</definedName>
    <definedName name="tripnyato">#REF!</definedName>
    <definedName name="TS">#REF!</definedName>
    <definedName name="ttk_lp_outdoor">'[38]GRAND TOTAL'!#REF!</definedName>
    <definedName name="ttk_stk">'[38]GRAND TOTAL'!#REF!</definedName>
    <definedName name="ttk_telp">'[38]GRAND TOTAL'!#REF!</definedName>
    <definedName name="ttk_tv">'[38]GRAND TOTAL'!#REF!</definedName>
    <definedName name="ttkinst">'[4]HB '!#REF!</definedName>
    <definedName name="ttkinst_1">[8]HB!#REF!</definedName>
    <definedName name="ttklampu">#REF!</definedName>
    <definedName name="ttkstop">#REF!</definedName>
    <definedName name="twood">#REF!</definedName>
    <definedName name="twood110">#REF!</definedName>
    <definedName name="twood122">#REF!</definedName>
    <definedName name="twoodalm">#REF!</definedName>
    <definedName name="Type__B">#REF!</definedName>
    <definedName name="Type_A">#REF!</definedName>
    <definedName name="Type_C">#REF!</definedName>
    <definedName name="TYPICAL_FLOOR___7_LEVEL">#REF!</definedName>
    <definedName name="u">#REF!</definedName>
    <definedName name="u._keet">#REF!</definedName>
    <definedName name="u.acidin">#REF!</definedName>
    <definedName name="u.aciplat">#REF!</definedName>
    <definedName name="u.baja">#REF!</definedName>
    <definedName name="u.bata">#REF!</definedName>
    <definedName name="u.batako">'[3]Harga Material'!$G$119</definedName>
    <definedName name="u.bekis">'[3]Harga Material'!$G$109</definedName>
    <definedName name="u.besi">'[3]Harga Material'!$G$110</definedName>
    <definedName name="u.beton">'[6]Harga Material'!$G$115</definedName>
    <definedName name="u.beton_sit_M">#REF!</definedName>
    <definedName name="u.bow">'[3]Harga Material'!$G$101</definedName>
    <definedName name="u.bubung">'[3]Harga Material'!$G$150</definedName>
    <definedName name="u.cat">'[3]Harga Material'!$G$137</definedName>
    <definedName name="u.catbesi">#REF!</definedName>
    <definedName name="u.cyc">'[3]Harga Material'!#REF!</definedName>
    <definedName name="u.engsel">#REF!</definedName>
    <definedName name="u.fabkus">#REF!</definedName>
    <definedName name="u.gal">#REF!</definedName>
    <definedName name="u.genteng">'[3]Harga Material'!$G$149</definedName>
    <definedName name="u.kait">#REF!</definedName>
    <definedName name="u.kali">#REF!</definedName>
    <definedName name="u.kans">#REF!</definedName>
    <definedName name="u.krm20">#REF!</definedName>
    <definedName name="u.krm30">'[3]Harga Material'!$G$127</definedName>
    <definedName name="u.krm60">#REF!</definedName>
    <definedName name="u.kuda">#REF!</definedName>
    <definedName name="u.kunci">#REF!</definedName>
    <definedName name="u.lisplank">'[3]Harga Material'!$G$148</definedName>
    <definedName name="u.mar">#REF!</definedName>
    <definedName name="u.mikdin">'[3]Harga Material'!$G$130</definedName>
    <definedName name="u.mix">'[3]Harga Material'!#REF!</definedName>
    <definedName name="u.pa2040">'[3]Harga Material'!$G$129</definedName>
    <definedName name="u.panc">'[3]Harga Material'!$G$112</definedName>
    <definedName name="u.panel">'[12]Harga Material'!$G$49</definedName>
    <definedName name="u.pas_jendkac">#REF!</definedName>
    <definedName name="u.pas_kus">#REF!</definedName>
    <definedName name="u.pas_pinmult">#REF!</definedName>
    <definedName name="u.pas_pinpan">#REF!</definedName>
    <definedName name="u.pasir">'[3]Harga Material'!$G$108</definedName>
    <definedName name="u.paskus">#REF!</definedName>
    <definedName name="u.pav">#REF!</definedName>
    <definedName name="u.plafon">#REF!</definedName>
    <definedName name="u.plester">#REF!</definedName>
    <definedName name="u.plin">#REF!</definedName>
    <definedName name="u.plitur">#REF!</definedName>
    <definedName name="u.proof">#REF!</definedName>
    <definedName name="u.rabat">#REF!</definedName>
    <definedName name="u.remix">#REF!</definedName>
    <definedName name="u.reng">'[3]Harga Material'!#REF!</definedName>
    <definedName name="u.talia">#REF!</definedName>
    <definedName name="u.tiang">'[12]Harga Material'!$G$48</definedName>
    <definedName name="u.urg">#REF!</definedName>
    <definedName name="u.urgbali">'[3]Harga Material'!$G$106</definedName>
    <definedName name="u.usuk">'[3]Harga Material'!$G$147</definedName>
    <definedName name="u.usuk2">'[3]Harga Material'!#REF!</definedName>
    <definedName name="UPAH">#REF!</definedName>
    <definedName name="usukmer">'[4]HB '!$F$37</definedName>
    <definedName name="usukmer_1">[8]HB!#REF!</definedName>
    <definedName name="v">#REF!</definedName>
    <definedName name="vibra">'[3]Harga Material'!$G$155</definedName>
    <definedName name="vntf100">#REF!</definedName>
    <definedName name="vntf80">#REF!</definedName>
    <definedName name="vol">#REF!</definedName>
    <definedName name="VOLUME">#REF!</definedName>
    <definedName name="wa">#REF!</definedName>
    <definedName name="wafel2020">#REF!</definedName>
    <definedName name="wastafel">'[4]HB '!$F$155</definedName>
    <definedName name="wastafel_1">[8]HB!#REF!</definedName>
    <definedName name="watermur">'[4]HB '!$F$159</definedName>
    <definedName name="watermur_1">[8]HB!#REF!</definedName>
    <definedName name="waterproofing">'[4]HB '!$F$165</definedName>
    <definedName name="waterproofing_1">[8]HB!#REF!</definedName>
    <definedName name="waterstop">'[4]HB '!$F$166</definedName>
    <definedName name="waterstop_1">[8]HB!#REF!</definedName>
    <definedName name="wf">'[4]HB '!#REF!</definedName>
    <definedName name="wf_1">[8]HB!#REF!</definedName>
    <definedName name="windak">#REF!</definedName>
    <definedName name="wood">#REF!</definedName>
    <definedName name="wtc">#REF!</definedName>
    <definedName name="y">[36]BHN1!$F$166</definedName>
    <definedName name="Z_4A4DBCF5_6E02_43D6_8F4D_223D21633DB8_.wvu.PrintArea" hidden="1">#REF!</definedName>
    <definedName name="Z_4A4DBCF5_6E02_43D6_8F4D_223D21633DB8_.wvu.Rows" hidden="1">'[39]Analisa SNI STANDART '!$A$155:$IV$155,'[39]Analisa SNI STANDART '!$A$3144:$IV$3431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15" l="1"/>
  <c r="B8" i="17"/>
  <c r="B9" i="17"/>
  <c r="B10" i="17"/>
  <c r="B11" i="17"/>
  <c r="B12" i="17"/>
  <c r="B13" i="17"/>
  <c r="B14" i="17"/>
  <c r="B15" i="17"/>
  <c r="B16" i="17"/>
  <c r="B17" i="17"/>
  <c r="A17" i="17"/>
  <c r="A16" i="17"/>
  <c r="A15" i="17"/>
  <c r="A14" i="17"/>
  <c r="A13" i="17"/>
  <c r="A12" i="17"/>
  <c r="A11" i="17"/>
  <c r="A10" i="17"/>
  <c r="A9" i="17"/>
  <c r="A8" i="17"/>
  <c r="L2" i="18"/>
  <c r="L5" i="18" s="1"/>
  <c r="A146" i="18"/>
  <c r="A147" i="18" s="1"/>
  <c r="A148" i="18" s="1"/>
  <c r="A144" i="18"/>
  <c r="E134" i="18"/>
  <c r="E133" i="18"/>
  <c r="E131" i="18"/>
  <c r="E129" i="18"/>
  <c r="A129" i="18"/>
  <c r="A130" i="18" s="1"/>
  <c r="A131" i="18" s="1"/>
  <c r="E128" i="18"/>
  <c r="E123" i="18"/>
  <c r="E122" i="18"/>
  <c r="A120" i="18"/>
  <c r="A121" i="18" s="1"/>
  <c r="A122" i="18" s="1"/>
  <c r="A123" i="18" s="1"/>
  <c r="A113" i="18"/>
  <c r="A114" i="18" s="1"/>
  <c r="A115" i="18" s="1"/>
  <c r="E107" i="18"/>
  <c r="E105" i="18"/>
  <c r="E104" i="18"/>
  <c r="A99" i="18"/>
  <c r="E98" i="18"/>
  <c r="E94" i="18"/>
  <c r="A91" i="18"/>
  <c r="E86" i="18"/>
  <c r="E85" i="18"/>
  <c r="E84" i="18"/>
  <c r="E83" i="18"/>
  <c r="E82" i="18"/>
  <c r="E81" i="18"/>
  <c r="E80" i="18"/>
  <c r="E79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1" i="18"/>
  <c r="E60" i="18"/>
  <c r="E59" i="18"/>
  <c r="E58" i="18"/>
  <c r="E57" i="18"/>
  <c r="E56" i="18"/>
  <c r="E54" i="18"/>
  <c r="E53" i="18"/>
  <c r="E52" i="18"/>
  <c r="E51" i="18"/>
  <c r="E50" i="18"/>
  <c r="E49" i="18"/>
  <c r="E46" i="18"/>
  <c r="E45" i="18"/>
  <c r="E44" i="18"/>
  <c r="E42" i="18"/>
  <c r="E41" i="18"/>
  <c r="E40" i="18"/>
  <c r="E39" i="18"/>
  <c r="E36" i="18"/>
  <c r="E35" i="18"/>
  <c r="E34" i="18"/>
  <c r="E33" i="18"/>
  <c r="E32" i="18"/>
  <c r="E31" i="18"/>
  <c r="E30" i="18"/>
  <c r="E29" i="18"/>
  <c r="E26" i="18"/>
  <c r="E25" i="18"/>
  <c r="A25" i="18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L146" i="15"/>
  <c r="K142" i="15"/>
  <c r="J142" i="15"/>
  <c r="I142" i="15"/>
  <c r="K141" i="15"/>
  <c r="J141" i="15"/>
  <c r="I141" i="15"/>
  <c r="K140" i="15"/>
  <c r="J140" i="15"/>
  <c r="I140" i="15"/>
  <c r="A140" i="15"/>
  <c r="A141" i="15" s="1"/>
  <c r="A142" i="15" s="1"/>
  <c r="K139" i="15"/>
  <c r="J139" i="15"/>
  <c r="I139" i="15"/>
  <c r="K138" i="15"/>
  <c r="G138" i="15"/>
  <c r="J138" i="15" s="1"/>
  <c r="K137" i="15"/>
  <c r="J137" i="15"/>
  <c r="I137" i="15"/>
  <c r="A137" i="15"/>
  <c r="K136" i="15"/>
  <c r="J136" i="15"/>
  <c r="I136" i="15"/>
  <c r="K133" i="15"/>
  <c r="G133" i="15"/>
  <c r="J133" i="15" s="1"/>
  <c r="I132" i="15"/>
  <c r="E132" i="15"/>
  <c r="K132" i="15" s="1"/>
  <c r="I128" i="15"/>
  <c r="E128" i="15"/>
  <c r="K128" i="15" s="1"/>
  <c r="I127" i="15"/>
  <c r="E127" i="15"/>
  <c r="J127" i="15" s="1"/>
  <c r="K126" i="15"/>
  <c r="J126" i="15"/>
  <c r="I126" i="15"/>
  <c r="I125" i="15"/>
  <c r="E125" i="15"/>
  <c r="K125" i="15" s="1"/>
  <c r="K124" i="15"/>
  <c r="J124" i="15"/>
  <c r="I124" i="15"/>
  <c r="I123" i="15"/>
  <c r="E123" i="15"/>
  <c r="K123" i="15" s="1"/>
  <c r="A123" i="15"/>
  <c r="A124" i="15" s="1"/>
  <c r="A125" i="15" s="1"/>
  <c r="I122" i="15"/>
  <c r="E122" i="15"/>
  <c r="K122" i="15" s="1"/>
  <c r="K118" i="15"/>
  <c r="J118" i="15"/>
  <c r="I118" i="15"/>
  <c r="I117" i="15"/>
  <c r="E117" i="15"/>
  <c r="J117" i="15" s="1"/>
  <c r="I116" i="15"/>
  <c r="E116" i="15"/>
  <c r="K116" i="15" s="1"/>
  <c r="K115" i="15"/>
  <c r="J115" i="15"/>
  <c r="I115" i="15"/>
  <c r="K114" i="15"/>
  <c r="J114" i="15"/>
  <c r="I114" i="15"/>
  <c r="A114" i="15"/>
  <c r="A115" i="15" s="1"/>
  <c r="A116" i="15" s="1"/>
  <c r="A117" i="15" s="1"/>
  <c r="K113" i="15"/>
  <c r="J113" i="15"/>
  <c r="I113" i="15"/>
  <c r="K110" i="15"/>
  <c r="G110" i="15"/>
  <c r="J110" i="15" s="1"/>
  <c r="K109" i="15"/>
  <c r="G109" i="15"/>
  <c r="J109" i="15" s="1"/>
  <c r="K108" i="15"/>
  <c r="G108" i="15"/>
  <c r="J108" i="15" s="1"/>
  <c r="A108" i="15"/>
  <c r="A109" i="15" s="1"/>
  <c r="A110" i="15" s="1"/>
  <c r="K107" i="15"/>
  <c r="G107" i="15"/>
  <c r="J107" i="15" s="1"/>
  <c r="K104" i="15"/>
  <c r="J104" i="15"/>
  <c r="I104" i="15"/>
  <c r="I103" i="15"/>
  <c r="E103" i="15"/>
  <c r="J103" i="15" s="1"/>
  <c r="K102" i="15"/>
  <c r="J102" i="15"/>
  <c r="I102" i="15"/>
  <c r="I101" i="15"/>
  <c r="E101" i="15"/>
  <c r="K101" i="15" s="1"/>
  <c r="I100" i="15"/>
  <c r="E100" i="15"/>
  <c r="K100" i="15" s="1"/>
  <c r="K99" i="15"/>
  <c r="J99" i="15"/>
  <c r="I99" i="15"/>
  <c r="K98" i="15"/>
  <c r="J98" i="15"/>
  <c r="I98" i="15"/>
  <c r="K97" i="15"/>
  <c r="G97" i="15"/>
  <c r="J97" i="15" s="1"/>
  <c r="K96" i="15"/>
  <c r="J96" i="15"/>
  <c r="I96" i="15"/>
  <c r="I95" i="15"/>
  <c r="A95" i="15"/>
  <c r="A96" i="15" s="1"/>
  <c r="A97" i="15" s="1"/>
  <c r="A98" i="15" s="1"/>
  <c r="A99" i="15" s="1"/>
  <c r="A100" i="15" s="1"/>
  <c r="A101" i="15" s="1"/>
  <c r="A102" i="15" s="1"/>
  <c r="A103" i="15" s="1"/>
  <c r="A104" i="15" s="1"/>
  <c r="I94" i="15"/>
  <c r="E94" i="15"/>
  <c r="E95" i="15" s="1"/>
  <c r="I90" i="15"/>
  <c r="E90" i="15"/>
  <c r="J90" i="15" s="1"/>
  <c r="K89" i="15"/>
  <c r="J89" i="15"/>
  <c r="I89" i="15"/>
  <c r="K88" i="15"/>
  <c r="J88" i="15"/>
  <c r="I88" i="15"/>
  <c r="K87" i="15"/>
  <c r="J87" i="15"/>
  <c r="I87" i="15"/>
  <c r="A87" i="15"/>
  <c r="K86" i="15"/>
  <c r="J86" i="15"/>
  <c r="I86" i="15"/>
  <c r="G82" i="15"/>
  <c r="E82" i="15"/>
  <c r="K82" i="15" s="1"/>
  <c r="I81" i="15"/>
  <c r="E81" i="15"/>
  <c r="K81" i="15" s="1"/>
  <c r="I80" i="15"/>
  <c r="E80" i="15"/>
  <c r="K80" i="15" s="1"/>
  <c r="I79" i="15"/>
  <c r="E79" i="15"/>
  <c r="K79" i="15" s="1"/>
  <c r="I78" i="15"/>
  <c r="E78" i="15"/>
  <c r="K78" i="15" s="1"/>
  <c r="I77" i="15"/>
  <c r="E77" i="15"/>
  <c r="K77" i="15" s="1"/>
  <c r="I76" i="15"/>
  <c r="E76" i="15"/>
  <c r="K76" i="15" s="1"/>
  <c r="I75" i="15"/>
  <c r="E75" i="15"/>
  <c r="K75" i="15" s="1"/>
  <c r="K74" i="15"/>
  <c r="J74" i="15"/>
  <c r="I74" i="15"/>
  <c r="E73" i="15"/>
  <c r="K73" i="15" s="1"/>
  <c r="I72" i="15"/>
  <c r="E72" i="15"/>
  <c r="K72" i="15" s="1"/>
  <c r="I71" i="15"/>
  <c r="E71" i="15"/>
  <c r="K71" i="15" s="1"/>
  <c r="G70" i="15"/>
  <c r="I70" i="15" s="1"/>
  <c r="E70" i="15"/>
  <c r="K70" i="15" s="1"/>
  <c r="I69" i="15"/>
  <c r="E69" i="15"/>
  <c r="K69" i="15" s="1"/>
  <c r="I68" i="15"/>
  <c r="E68" i="15"/>
  <c r="K68" i="15" s="1"/>
  <c r="I67" i="15"/>
  <c r="E67" i="15"/>
  <c r="K67" i="15" s="1"/>
  <c r="I66" i="15"/>
  <c r="E66" i="15"/>
  <c r="K66" i="15" s="1"/>
  <c r="I65" i="15"/>
  <c r="E65" i="15"/>
  <c r="K65" i="15" s="1"/>
  <c r="I64" i="15"/>
  <c r="E64" i="15"/>
  <c r="K64" i="15" s="1"/>
  <c r="I63" i="15"/>
  <c r="E63" i="15"/>
  <c r="K63" i="15" s="1"/>
  <c r="I62" i="15"/>
  <c r="E62" i="15"/>
  <c r="K62" i="15" s="1"/>
  <c r="I58" i="15"/>
  <c r="E58" i="15"/>
  <c r="K58" i="15" s="1"/>
  <c r="I57" i="15"/>
  <c r="E57" i="15"/>
  <c r="K57" i="15" s="1"/>
  <c r="I56" i="15"/>
  <c r="E56" i="15"/>
  <c r="K56" i="15" s="1"/>
  <c r="I55" i="15"/>
  <c r="E55" i="15"/>
  <c r="J55" i="15" s="1"/>
  <c r="I54" i="15"/>
  <c r="E54" i="15"/>
  <c r="J54" i="15" s="1"/>
  <c r="I53" i="15"/>
  <c r="E53" i="15"/>
  <c r="K53" i="15" s="1"/>
  <c r="K52" i="15"/>
  <c r="J52" i="15"/>
  <c r="I52" i="15"/>
  <c r="I51" i="15"/>
  <c r="E51" i="15"/>
  <c r="K51" i="15" s="1"/>
  <c r="I50" i="15"/>
  <c r="E50" i="15"/>
  <c r="K50" i="15" s="1"/>
  <c r="G49" i="15"/>
  <c r="E49" i="15"/>
  <c r="K49" i="15" s="1"/>
  <c r="G48" i="15"/>
  <c r="I48" i="15" s="1"/>
  <c r="E48" i="15"/>
  <c r="K48" i="15" s="1"/>
  <c r="I47" i="15"/>
  <c r="E47" i="15"/>
  <c r="K47" i="15" s="1"/>
  <c r="I46" i="15"/>
  <c r="E46" i="15"/>
  <c r="K46" i="15" s="1"/>
  <c r="K45" i="15"/>
  <c r="J45" i="15"/>
  <c r="L45" i="15" s="1"/>
  <c r="I45" i="15"/>
  <c r="I44" i="15"/>
  <c r="E44" i="15"/>
  <c r="J44" i="15" s="1"/>
  <c r="I43" i="15"/>
  <c r="E43" i="15"/>
  <c r="J43" i="15" s="1"/>
  <c r="K42" i="15"/>
  <c r="J42" i="15"/>
  <c r="I42" i="15"/>
  <c r="K41" i="15"/>
  <c r="I40" i="15"/>
  <c r="E40" i="15"/>
  <c r="J40" i="15" s="1"/>
  <c r="I39" i="15"/>
  <c r="E39" i="15"/>
  <c r="K39" i="15" s="1"/>
  <c r="K38" i="15"/>
  <c r="K37" i="15"/>
  <c r="G38" i="15"/>
  <c r="E36" i="15"/>
  <c r="K36" i="15" s="1"/>
  <c r="G35" i="15"/>
  <c r="G36" i="15" s="1"/>
  <c r="E35" i="15"/>
  <c r="I34" i="15"/>
  <c r="I33" i="15"/>
  <c r="E33" i="15"/>
  <c r="J33" i="15" s="1"/>
  <c r="I32" i="15"/>
  <c r="E32" i="15"/>
  <c r="J32" i="15" s="1"/>
  <c r="I31" i="15"/>
  <c r="E31" i="15"/>
  <c r="J31" i="15" s="1"/>
  <c r="I30" i="15"/>
  <c r="I29" i="15"/>
  <c r="E29" i="15"/>
  <c r="E30" i="15" s="1"/>
  <c r="I28" i="15"/>
  <c r="E28" i="15"/>
  <c r="J28" i="15" s="1"/>
  <c r="I27" i="15"/>
  <c r="E27" i="15"/>
  <c r="J27" i="15" s="1"/>
  <c r="I26" i="15"/>
  <c r="E26" i="15"/>
  <c r="J26" i="15" s="1"/>
  <c r="I25" i="15"/>
  <c r="E25" i="15"/>
  <c r="J25" i="15" s="1"/>
  <c r="I24" i="15"/>
  <c r="E24" i="15"/>
  <c r="J24" i="15" s="1"/>
  <c r="I23" i="15"/>
  <c r="E23" i="15"/>
  <c r="J23" i="15" s="1"/>
  <c r="A23" i="15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I22" i="15"/>
  <c r="E22" i="15"/>
  <c r="J22" i="15" s="1"/>
  <c r="L19" i="15"/>
  <c r="K18" i="15"/>
  <c r="J18" i="15"/>
  <c r="I18" i="15"/>
  <c r="K17" i="15"/>
  <c r="J17" i="15"/>
  <c r="J16" i="15"/>
  <c r="K15" i="15"/>
  <c r="J15" i="15"/>
  <c r="I15" i="15"/>
  <c r="K14" i="15"/>
  <c r="J14" i="15"/>
  <c r="I14" i="15"/>
  <c r="K13" i="15"/>
  <c r="J13" i="15"/>
  <c r="I13" i="15"/>
  <c r="K12" i="15"/>
  <c r="J12" i="15"/>
  <c r="I12" i="15"/>
  <c r="K11" i="15"/>
  <c r="J11" i="15"/>
  <c r="I11" i="15"/>
  <c r="K10" i="15"/>
  <c r="J10" i="15"/>
  <c r="I10" i="15"/>
  <c r="R7" i="13"/>
  <c r="U5" i="13"/>
  <c r="X5" i="13" s="1"/>
  <c r="AB5" i="13" s="1"/>
  <c r="AW23" i="13"/>
  <c r="AX23" i="13" s="1"/>
  <c r="AW24" i="13"/>
  <c r="AX24" i="13" s="1"/>
  <c r="AW25" i="13"/>
  <c r="AX25" i="13" s="1"/>
  <c r="AW64" i="13"/>
  <c r="AX64" i="13" s="1"/>
  <c r="AW65" i="13"/>
  <c r="AX65" i="13" s="1"/>
  <c r="AW66" i="13"/>
  <c r="AX66" i="13" s="1"/>
  <c r="AW67" i="13"/>
  <c r="AX67" i="13" s="1"/>
  <c r="AW89" i="13"/>
  <c r="AX89" i="13" s="1"/>
  <c r="AW90" i="13"/>
  <c r="AX90" i="13" s="1"/>
  <c r="AW91" i="13"/>
  <c r="AX91" i="13" s="1"/>
  <c r="AW97" i="13"/>
  <c r="AX97" i="13" s="1"/>
  <c r="AW98" i="13"/>
  <c r="AX98" i="13" s="1"/>
  <c r="AW99" i="13"/>
  <c r="AX99" i="13" s="1"/>
  <c r="AW100" i="13"/>
  <c r="AX100" i="13" s="1"/>
  <c r="AW101" i="13"/>
  <c r="AX101" i="13" s="1"/>
  <c r="AW113" i="13"/>
  <c r="AX113" i="13" s="1"/>
  <c r="AW114" i="13"/>
  <c r="AX114" i="13" s="1"/>
  <c r="AW115" i="13"/>
  <c r="AX115" i="13" s="1"/>
  <c r="AW120" i="13"/>
  <c r="AX120" i="13" s="1"/>
  <c r="AW121" i="13"/>
  <c r="AX121" i="13" s="1"/>
  <c r="AW122" i="13"/>
  <c r="AX122" i="13" s="1"/>
  <c r="AW128" i="13"/>
  <c r="AX128" i="13" s="1"/>
  <c r="AW129" i="13"/>
  <c r="AX129" i="13" s="1"/>
  <c r="AW130" i="13"/>
  <c r="AX130" i="13" s="1"/>
  <c r="AW131" i="13"/>
  <c r="AX131" i="13" s="1"/>
  <c r="AW132" i="13"/>
  <c r="AX132" i="13" s="1"/>
  <c r="AW140" i="13"/>
  <c r="AX140" i="13" s="1"/>
  <c r="AW141" i="13"/>
  <c r="AX141" i="13" s="1"/>
  <c r="AW142" i="13"/>
  <c r="AX142" i="13" s="1"/>
  <c r="AW145" i="13"/>
  <c r="AX145" i="13" s="1"/>
  <c r="AW146" i="13"/>
  <c r="AX146" i="13" s="1"/>
  <c r="L84" i="10"/>
  <c r="L59" i="10"/>
  <c r="R3" i="13"/>
  <c r="R4" i="13" s="1"/>
  <c r="T2" i="13"/>
  <c r="V2" i="13" s="1"/>
  <c r="AD1" i="13"/>
  <c r="AF1" i="13" s="1"/>
  <c r="AF2" i="13" s="1"/>
  <c r="A27" i="13"/>
  <c r="K155" i="13"/>
  <c r="J155" i="13"/>
  <c r="I155" i="13"/>
  <c r="K154" i="13"/>
  <c r="J154" i="13"/>
  <c r="I154" i="13"/>
  <c r="K152" i="13"/>
  <c r="J152" i="13"/>
  <c r="I152" i="13"/>
  <c r="Q152" i="13" s="1"/>
  <c r="R152" i="13" s="1"/>
  <c r="K151" i="13"/>
  <c r="J151" i="13"/>
  <c r="I151" i="13"/>
  <c r="Q151" i="13" s="1"/>
  <c r="R151" i="13" s="1"/>
  <c r="K150" i="13"/>
  <c r="J150" i="13"/>
  <c r="I150" i="13"/>
  <c r="Q150" i="13" s="1"/>
  <c r="R150" i="13" s="1"/>
  <c r="A150" i="13"/>
  <c r="A151" i="13" s="1"/>
  <c r="A152" i="13" s="1"/>
  <c r="K149" i="13"/>
  <c r="J149" i="13"/>
  <c r="I149" i="13"/>
  <c r="Q149" i="13" s="1"/>
  <c r="R149" i="13" s="1"/>
  <c r="K26" i="13"/>
  <c r="J26" i="13"/>
  <c r="I26" i="13"/>
  <c r="Q26" i="13" s="1"/>
  <c r="R26" i="13" s="1"/>
  <c r="K148" i="13"/>
  <c r="J148" i="13"/>
  <c r="I148" i="13"/>
  <c r="Q148" i="13" s="1"/>
  <c r="R148" i="13" s="1"/>
  <c r="A148" i="13"/>
  <c r="K147" i="13"/>
  <c r="J147" i="13"/>
  <c r="I147" i="13"/>
  <c r="Q147" i="13" s="1"/>
  <c r="R147" i="13" s="1"/>
  <c r="K144" i="13"/>
  <c r="J144" i="13"/>
  <c r="I144" i="13"/>
  <c r="Q144" i="13" s="1"/>
  <c r="R144" i="13" s="1"/>
  <c r="K143" i="13"/>
  <c r="J143" i="13"/>
  <c r="I143" i="13"/>
  <c r="Q143" i="13" s="1"/>
  <c r="R143" i="13" s="1"/>
  <c r="I139" i="13"/>
  <c r="Q139" i="13" s="1"/>
  <c r="E139" i="13"/>
  <c r="K139" i="13" s="1"/>
  <c r="I138" i="13"/>
  <c r="Q138" i="13" s="1"/>
  <c r="E138" i="13"/>
  <c r="K138" i="13" s="1"/>
  <c r="K137" i="13"/>
  <c r="J137" i="13"/>
  <c r="I137" i="13"/>
  <c r="Q137" i="13" s="1"/>
  <c r="R137" i="13" s="1"/>
  <c r="I136" i="13"/>
  <c r="Q136" i="13" s="1"/>
  <c r="E136" i="13"/>
  <c r="J136" i="13" s="1"/>
  <c r="K135" i="13"/>
  <c r="J135" i="13"/>
  <c r="I135" i="13"/>
  <c r="Q135" i="13" s="1"/>
  <c r="R135" i="13" s="1"/>
  <c r="I134" i="13"/>
  <c r="Q134" i="13" s="1"/>
  <c r="E134" i="13"/>
  <c r="A134" i="13"/>
  <c r="A135" i="13" s="1"/>
  <c r="A136" i="13" s="1"/>
  <c r="I133" i="13"/>
  <c r="Q133" i="13" s="1"/>
  <c r="E133" i="13"/>
  <c r="K133" i="13" s="1"/>
  <c r="K128" i="13"/>
  <c r="J128" i="13"/>
  <c r="I128" i="13"/>
  <c r="I127" i="13"/>
  <c r="Q127" i="13" s="1"/>
  <c r="E127" i="13"/>
  <c r="I126" i="13"/>
  <c r="Q126" i="13" s="1"/>
  <c r="E126" i="13"/>
  <c r="K126" i="13" s="1"/>
  <c r="K125" i="13"/>
  <c r="J125" i="13"/>
  <c r="I125" i="13"/>
  <c r="Q125" i="13" s="1"/>
  <c r="R125" i="13" s="1"/>
  <c r="K124" i="13"/>
  <c r="J124" i="13"/>
  <c r="I124" i="13"/>
  <c r="Q124" i="13" s="1"/>
  <c r="R124" i="13" s="1"/>
  <c r="A124" i="13"/>
  <c r="A125" i="13" s="1"/>
  <c r="A126" i="13" s="1"/>
  <c r="A127" i="13" s="1"/>
  <c r="K123" i="13"/>
  <c r="J123" i="13"/>
  <c r="I123" i="13"/>
  <c r="Q123" i="13" s="1"/>
  <c r="R123" i="13" s="1"/>
  <c r="K120" i="13"/>
  <c r="J120" i="13"/>
  <c r="I120" i="13"/>
  <c r="K119" i="13"/>
  <c r="G119" i="13"/>
  <c r="J119" i="13" s="1"/>
  <c r="K118" i="13"/>
  <c r="G118" i="13"/>
  <c r="J118" i="13" s="1"/>
  <c r="K117" i="13"/>
  <c r="G117" i="13"/>
  <c r="I117" i="13" s="1"/>
  <c r="Q117" i="13" s="1"/>
  <c r="R117" i="13" s="1"/>
  <c r="A117" i="13"/>
  <c r="A118" i="13" s="1"/>
  <c r="A119" i="13" s="1"/>
  <c r="K116" i="13"/>
  <c r="G116" i="13"/>
  <c r="J116" i="13" s="1"/>
  <c r="K112" i="13"/>
  <c r="J112" i="13"/>
  <c r="I112" i="13"/>
  <c r="Q112" i="13" s="1"/>
  <c r="R112" i="13" s="1"/>
  <c r="I111" i="13"/>
  <c r="Q111" i="13" s="1"/>
  <c r="E111" i="13"/>
  <c r="K111" i="13" s="1"/>
  <c r="K110" i="13"/>
  <c r="J110" i="13"/>
  <c r="I110" i="13"/>
  <c r="Q110" i="13" s="1"/>
  <c r="R110" i="13" s="1"/>
  <c r="I109" i="13"/>
  <c r="Q109" i="13" s="1"/>
  <c r="E109" i="13"/>
  <c r="K109" i="13" s="1"/>
  <c r="I108" i="13"/>
  <c r="Q108" i="13" s="1"/>
  <c r="E108" i="13"/>
  <c r="K108" i="13" s="1"/>
  <c r="K107" i="13"/>
  <c r="J107" i="13"/>
  <c r="I107" i="13"/>
  <c r="Q107" i="13" s="1"/>
  <c r="R107" i="13" s="1"/>
  <c r="K106" i="13"/>
  <c r="J106" i="13"/>
  <c r="I106" i="13"/>
  <c r="Q106" i="13" s="1"/>
  <c r="R106" i="13" s="1"/>
  <c r="K105" i="13"/>
  <c r="G105" i="13"/>
  <c r="J105" i="13" s="1"/>
  <c r="Q104" i="13"/>
  <c r="R104" i="13" s="1"/>
  <c r="K104" i="13"/>
  <c r="J104" i="13"/>
  <c r="I103" i="13"/>
  <c r="Q103" i="13" s="1"/>
  <c r="A103" i="13"/>
  <c r="I102" i="13"/>
  <c r="Q102" i="13" s="1"/>
  <c r="E102" i="13"/>
  <c r="E103" i="13" s="1"/>
  <c r="J103" i="13" s="1"/>
  <c r="I96" i="13"/>
  <c r="Q96" i="13" s="1"/>
  <c r="E96" i="13"/>
  <c r="K95" i="13"/>
  <c r="J95" i="13"/>
  <c r="I95" i="13"/>
  <c r="Q95" i="13" s="1"/>
  <c r="R95" i="13" s="1"/>
  <c r="K94" i="13"/>
  <c r="J94" i="13"/>
  <c r="I94" i="13"/>
  <c r="Q94" i="13" s="1"/>
  <c r="R94" i="13" s="1"/>
  <c r="K93" i="13"/>
  <c r="J93" i="13"/>
  <c r="I93" i="13"/>
  <c r="Q93" i="13" s="1"/>
  <c r="R93" i="13" s="1"/>
  <c r="A93" i="13"/>
  <c r="K92" i="13"/>
  <c r="J92" i="13"/>
  <c r="I92" i="13"/>
  <c r="Q92" i="13" s="1"/>
  <c r="R92" i="13" s="1"/>
  <c r="E88" i="13"/>
  <c r="I87" i="13"/>
  <c r="Q87" i="13" s="1"/>
  <c r="E87" i="13"/>
  <c r="K87" i="13" s="1"/>
  <c r="I86" i="13"/>
  <c r="Q86" i="13" s="1"/>
  <c r="E86" i="13"/>
  <c r="K86" i="13" s="1"/>
  <c r="I85" i="13"/>
  <c r="Q85" i="13" s="1"/>
  <c r="E85" i="13"/>
  <c r="J85" i="13" s="1"/>
  <c r="I84" i="13"/>
  <c r="Q84" i="13" s="1"/>
  <c r="E84" i="13"/>
  <c r="K84" i="13" s="1"/>
  <c r="I83" i="13"/>
  <c r="Q83" i="13" s="1"/>
  <c r="E83" i="13"/>
  <c r="K83" i="13" s="1"/>
  <c r="I82" i="13"/>
  <c r="Q82" i="13" s="1"/>
  <c r="E82" i="13"/>
  <c r="K82" i="13" s="1"/>
  <c r="I81" i="13"/>
  <c r="Q81" i="13" s="1"/>
  <c r="E81" i="13"/>
  <c r="J81" i="13" s="1"/>
  <c r="K80" i="13"/>
  <c r="J80" i="13"/>
  <c r="I80" i="13"/>
  <c r="Q80" i="13" s="1"/>
  <c r="R80" i="13" s="1"/>
  <c r="E79" i="13"/>
  <c r="I78" i="13"/>
  <c r="Q78" i="13" s="1"/>
  <c r="E78" i="13"/>
  <c r="K78" i="13" s="1"/>
  <c r="I77" i="13"/>
  <c r="Q77" i="13" s="1"/>
  <c r="E77" i="13"/>
  <c r="J77" i="13" s="1"/>
  <c r="G76" i="13"/>
  <c r="E76" i="13"/>
  <c r="K76" i="13" s="1"/>
  <c r="I75" i="13"/>
  <c r="Q75" i="13" s="1"/>
  <c r="E75" i="13"/>
  <c r="J75" i="13" s="1"/>
  <c r="I74" i="13"/>
  <c r="Q74" i="13" s="1"/>
  <c r="E74" i="13"/>
  <c r="G73" i="13"/>
  <c r="I73" i="13" s="1"/>
  <c r="Q73" i="13" s="1"/>
  <c r="E73" i="13"/>
  <c r="K73" i="13" s="1"/>
  <c r="I72" i="13"/>
  <c r="Q72" i="13" s="1"/>
  <c r="E72" i="13"/>
  <c r="K72" i="13" s="1"/>
  <c r="I71" i="13"/>
  <c r="Q71" i="13" s="1"/>
  <c r="E71" i="13"/>
  <c r="J71" i="13" s="1"/>
  <c r="E70" i="13"/>
  <c r="I69" i="13"/>
  <c r="Q69" i="13" s="1"/>
  <c r="E69" i="13"/>
  <c r="K69" i="13" s="1"/>
  <c r="I68" i="13"/>
  <c r="Q68" i="13" s="1"/>
  <c r="E68" i="13"/>
  <c r="J68" i="13" s="1"/>
  <c r="I63" i="13"/>
  <c r="Q63" i="13" s="1"/>
  <c r="E63" i="13"/>
  <c r="K63" i="13" s="1"/>
  <c r="I62" i="13"/>
  <c r="Q62" i="13" s="1"/>
  <c r="E62" i="13"/>
  <c r="J62" i="13" s="1"/>
  <c r="I61" i="13"/>
  <c r="Q61" i="13" s="1"/>
  <c r="E61" i="13"/>
  <c r="I60" i="13"/>
  <c r="Q60" i="13" s="1"/>
  <c r="E60" i="13"/>
  <c r="K60" i="13" s="1"/>
  <c r="I59" i="13"/>
  <c r="Q59" i="13" s="1"/>
  <c r="E59" i="13"/>
  <c r="J59" i="13" s="1"/>
  <c r="I58" i="13"/>
  <c r="Q58" i="13" s="1"/>
  <c r="E58" i="13"/>
  <c r="K58" i="13" s="1"/>
  <c r="K57" i="13"/>
  <c r="J57" i="13"/>
  <c r="I57" i="13"/>
  <c r="Q57" i="13" s="1"/>
  <c r="R57" i="13" s="1"/>
  <c r="I56" i="13"/>
  <c r="Q56" i="13" s="1"/>
  <c r="E56" i="13"/>
  <c r="K56" i="13" s="1"/>
  <c r="I55" i="13"/>
  <c r="Q55" i="13" s="1"/>
  <c r="E55" i="13"/>
  <c r="J55" i="13" s="1"/>
  <c r="G54" i="13"/>
  <c r="I54" i="13" s="1"/>
  <c r="Q54" i="13" s="1"/>
  <c r="E54" i="13"/>
  <c r="K54" i="13" s="1"/>
  <c r="G53" i="13"/>
  <c r="I53" i="13" s="1"/>
  <c r="Q53" i="13" s="1"/>
  <c r="E53" i="13"/>
  <c r="I52" i="13"/>
  <c r="Q52" i="13" s="1"/>
  <c r="E52" i="13"/>
  <c r="K52" i="13" s="1"/>
  <c r="I51" i="13"/>
  <c r="Q51" i="13" s="1"/>
  <c r="E51" i="13"/>
  <c r="J51" i="13" s="1"/>
  <c r="K50" i="13"/>
  <c r="J50" i="13"/>
  <c r="I50" i="13"/>
  <c r="Q50" i="13" s="1"/>
  <c r="R50" i="13" s="1"/>
  <c r="I42" i="13"/>
  <c r="Q42" i="13" s="1"/>
  <c r="E42" i="13"/>
  <c r="I41" i="13"/>
  <c r="Q41" i="13" s="1"/>
  <c r="E41" i="13"/>
  <c r="K41" i="13" s="1"/>
  <c r="K40" i="13"/>
  <c r="J40" i="13"/>
  <c r="I40" i="13"/>
  <c r="Q40" i="13" s="1"/>
  <c r="R40" i="13" s="1"/>
  <c r="K39" i="13"/>
  <c r="I38" i="13"/>
  <c r="Q38" i="13" s="1"/>
  <c r="E38" i="13"/>
  <c r="E37" i="13"/>
  <c r="K37" i="13" s="1"/>
  <c r="K30" i="13"/>
  <c r="K29" i="13"/>
  <c r="G29" i="13"/>
  <c r="E28" i="13"/>
  <c r="G27" i="13"/>
  <c r="I27" i="13" s="1"/>
  <c r="Q27" i="13" s="1"/>
  <c r="E27" i="13"/>
  <c r="I49" i="13"/>
  <c r="Q49" i="13" s="1"/>
  <c r="I48" i="13"/>
  <c r="Q48" i="13" s="1"/>
  <c r="E48" i="13"/>
  <c r="K48" i="13" s="1"/>
  <c r="I47" i="13"/>
  <c r="Q47" i="13" s="1"/>
  <c r="E47" i="13"/>
  <c r="K47" i="13" s="1"/>
  <c r="I46" i="13"/>
  <c r="Q46" i="13" s="1"/>
  <c r="E46" i="13"/>
  <c r="J46" i="13" s="1"/>
  <c r="I45" i="13"/>
  <c r="Q45" i="13" s="1"/>
  <c r="I44" i="13"/>
  <c r="Q44" i="13" s="1"/>
  <c r="E44" i="13"/>
  <c r="E45" i="13" s="1"/>
  <c r="I43" i="13"/>
  <c r="Q43" i="13" s="1"/>
  <c r="E43" i="13"/>
  <c r="K43" i="13" s="1"/>
  <c r="I36" i="13"/>
  <c r="Q36" i="13" s="1"/>
  <c r="E36" i="13"/>
  <c r="K36" i="13" s="1"/>
  <c r="I35" i="13"/>
  <c r="Q35" i="13" s="1"/>
  <c r="E35" i="13"/>
  <c r="I34" i="13"/>
  <c r="Q34" i="13" s="1"/>
  <c r="E34" i="13"/>
  <c r="J34" i="13" s="1"/>
  <c r="I33" i="13"/>
  <c r="Q33" i="13" s="1"/>
  <c r="E33" i="13"/>
  <c r="K33" i="13" s="1"/>
  <c r="I32" i="13"/>
  <c r="Q32" i="13" s="1"/>
  <c r="E32" i="13"/>
  <c r="I31" i="13"/>
  <c r="Q31" i="13" s="1"/>
  <c r="E31" i="13"/>
  <c r="J31" i="13" s="1"/>
  <c r="L23" i="13"/>
  <c r="K22" i="13"/>
  <c r="J22" i="13"/>
  <c r="I22" i="13"/>
  <c r="Q22" i="13" s="1"/>
  <c r="R22" i="13" s="1"/>
  <c r="P21" i="13"/>
  <c r="K21" i="13"/>
  <c r="J21" i="13"/>
  <c r="R20" i="13"/>
  <c r="J20" i="13"/>
  <c r="K19" i="13"/>
  <c r="J19" i="13"/>
  <c r="I19" i="13"/>
  <c r="K18" i="13"/>
  <c r="J18" i="13"/>
  <c r="I18" i="13"/>
  <c r="Q18" i="13" s="1"/>
  <c r="R18" i="13" s="1"/>
  <c r="K17" i="13"/>
  <c r="J17" i="13"/>
  <c r="I17" i="13"/>
  <c r="P17" i="13" s="1"/>
  <c r="Q17" i="13" s="1"/>
  <c r="R17" i="13" s="1"/>
  <c r="K16" i="13"/>
  <c r="J16" i="13"/>
  <c r="I16" i="13"/>
  <c r="K15" i="13"/>
  <c r="J15" i="13"/>
  <c r="I15" i="13"/>
  <c r="P15" i="13" s="1"/>
  <c r="Q15" i="13" s="1"/>
  <c r="R15" i="13" s="1"/>
  <c r="K14" i="13"/>
  <c r="J14" i="13"/>
  <c r="I14" i="13"/>
  <c r="P14" i="13" s="1"/>
  <c r="Q14" i="13" s="1"/>
  <c r="R14" i="13" s="1"/>
  <c r="R6" i="13"/>
  <c r="S21" i="13" s="1"/>
  <c r="T21" i="13" s="1"/>
  <c r="U21" i="13" s="1"/>
  <c r="V21" i="13" s="1"/>
  <c r="W21" i="13" s="1"/>
  <c r="X21" i="13" s="1"/>
  <c r="S148" i="10"/>
  <c r="S147" i="10"/>
  <c r="S146" i="10"/>
  <c r="S145" i="10"/>
  <c r="S144" i="10"/>
  <c r="S143" i="10"/>
  <c r="S142" i="10"/>
  <c r="S139" i="10"/>
  <c r="S138" i="10"/>
  <c r="S134" i="10"/>
  <c r="S133" i="10"/>
  <c r="S132" i="10"/>
  <c r="S131" i="10"/>
  <c r="S130" i="10"/>
  <c r="S129" i="10"/>
  <c r="S128" i="10"/>
  <c r="S122" i="10"/>
  <c r="S121" i="10"/>
  <c r="S120" i="10"/>
  <c r="S119" i="10"/>
  <c r="S118" i="10"/>
  <c r="S114" i="10"/>
  <c r="S113" i="10"/>
  <c r="S112" i="10"/>
  <c r="S111" i="10"/>
  <c r="S107" i="10"/>
  <c r="S106" i="10"/>
  <c r="S105" i="10"/>
  <c r="S104" i="10"/>
  <c r="S103" i="10"/>
  <c r="S102" i="10"/>
  <c r="S101" i="10"/>
  <c r="S100" i="10"/>
  <c r="S99" i="10"/>
  <c r="S98" i="10"/>
  <c r="S97" i="10"/>
  <c r="S91" i="10"/>
  <c r="S90" i="10"/>
  <c r="S89" i="10"/>
  <c r="S88" i="10"/>
  <c r="S87" i="10"/>
  <c r="S83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11" i="10"/>
  <c r="S12" i="10"/>
  <c r="S13" i="10"/>
  <c r="S14" i="10"/>
  <c r="S15" i="10"/>
  <c r="S16" i="10"/>
  <c r="S17" i="10"/>
  <c r="S18" i="10"/>
  <c r="S10" i="10"/>
  <c r="R4" i="10"/>
  <c r="R3" i="10"/>
  <c r="F9" i="11"/>
  <c r="F10" i="11"/>
  <c r="F11" i="11"/>
  <c r="F12" i="11"/>
  <c r="F13" i="11"/>
  <c r="F14" i="11"/>
  <c r="F15" i="11"/>
  <c r="F16" i="11"/>
  <c r="F17" i="11"/>
  <c r="F8" i="11"/>
  <c r="I138" i="10"/>
  <c r="Q138" i="10" s="1"/>
  <c r="R138" i="10" s="1"/>
  <c r="K138" i="10"/>
  <c r="J138" i="10"/>
  <c r="K139" i="10"/>
  <c r="J139" i="10"/>
  <c r="L139" i="10" s="1"/>
  <c r="I139" i="10"/>
  <c r="Q139" i="10" s="1"/>
  <c r="R139" i="10" s="1"/>
  <c r="I128" i="10"/>
  <c r="Q128" i="10" s="1"/>
  <c r="E128" i="10"/>
  <c r="I10" i="10"/>
  <c r="I11" i="10"/>
  <c r="I12" i="10"/>
  <c r="I13" i="10"/>
  <c r="I14" i="10"/>
  <c r="I15" i="10"/>
  <c r="I18" i="10"/>
  <c r="A146" i="10"/>
  <c r="A147" i="10" s="1"/>
  <c r="A148" i="10" s="1"/>
  <c r="A143" i="10"/>
  <c r="J10" i="10"/>
  <c r="K10" i="10"/>
  <c r="J11" i="10"/>
  <c r="K11" i="10"/>
  <c r="J12" i="10"/>
  <c r="K12" i="10"/>
  <c r="J13" i="10"/>
  <c r="K13" i="10"/>
  <c r="J14" i="10"/>
  <c r="K14" i="10"/>
  <c r="J15" i="10"/>
  <c r="K15" i="10"/>
  <c r="J16" i="10"/>
  <c r="J17" i="10"/>
  <c r="K17" i="10"/>
  <c r="J18" i="10"/>
  <c r="K18" i="10"/>
  <c r="I22" i="10"/>
  <c r="Q22" i="10" s="1"/>
  <c r="I23" i="10"/>
  <c r="Q23" i="10" s="1"/>
  <c r="I24" i="10"/>
  <c r="Q24" i="10" s="1"/>
  <c r="I25" i="10"/>
  <c r="Q25" i="10" s="1"/>
  <c r="I26" i="10"/>
  <c r="Q26" i="10" s="1"/>
  <c r="I27" i="10"/>
  <c r="Q27" i="10" s="1"/>
  <c r="I28" i="10"/>
  <c r="Q28" i="10" s="1"/>
  <c r="I29" i="10"/>
  <c r="Q29" i="10" s="1"/>
  <c r="I30" i="10"/>
  <c r="Q30" i="10" s="1"/>
  <c r="I31" i="10"/>
  <c r="Q31" i="10" s="1"/>
  <c r="I32" i="10"/>
  <c r="Q32" i="10" s="1"/>
  <c r="I33" i="10"/>
  <c r="Q33" i="10" s="1"/>
  <c r="I34" i="10"/>
  <c r="Q34" i="10" s="1"/>
  <c r="G35" i="10"/>
  <c r="I35" i="10" s="1"/>
  <c r="G37" i="10"/>
  <c r="G38" i="10" s="1"/>
  <c r="I38" i="10" s="1"/>
  <c r="I40" i="10"/>
  <c r="I42" i="10"/>
  <c r="I43" i="10"/>
  <c r="I44" i="10"/>
  <c r="I45" i="10"/>
  <c r="J45" i="10"/>
  <c r="K45" i="10"/>
  <c r="I46" i="10"/>
  <c r="I47" i="10"/>
  <c r="G48" i="10"/>
  <c r="I48" i="10" s="1"/>
  <c r="G49" i="10"/>
  <c r="I49" i="10" s="1"/>
  <c r="I50" i="10"/>
  <c r="I51" i="10"/>
  <c r="I52" i="10"/>
  <c r="I53" i="10"/>
  <c r="I54" i="10"/>
  <c r="I55" i="10"/>
  <c r="I56" i="10"/>
  <c r="I57" i="10"/>
  <c r="I58" i="10"/>
  <c r="I63" i="10"/>
  <c r="I64" i="10"/>
  <c r="I66" i="10"/>
  <c r="I67" i="10"/>
  <c r="G68" i="10"/>
  <c r="G65" i="10" s="1"/>
  <c r="I65" i="10" s="1"/>
  <c r="I69" i="10"/>
  <c r="I70" i="10"/>
  <c r="G71" i="10"/>
  <c r="G74" i="10" s="1"/>
  <c r="I74" i="10" s="1"/>
  <c r="I72" i="10"/>
  <c r="I73" i="10"/>
  <c r="I75" i="10"/>
  <c r="I76" i="10"/>
  <c r="I77" i="10"/>
  <c r="I78" i="10"/>
  <c r="I79" i="10"/>
  <c r="I80" i="10"/>
  <c r="I81" i="10"/>
  <c r="I82" i="10"/>
  <c r="I87" i="10"/>
  <c r="Q87" i="10" s="1"/>
  <c r="R87" i="10" s="1"/>
  <c r="J87" i="10"/>
  <c r="K87" i="10"/>
  <c r="I88" i="10"/>
  <c r="Q88" i="10" s="1"/>
  <c r="R88" i="10" s="1"/>
  <c r="J88" i="10"/>
  <c r="K88" i="10"/>
  <c r="I89" i="10"/>
  <c r="Q89" i="10" s="1"/>
  <c r="R89" i="10" s="1"/>
  <c r="J89" i="10"/>
  <c r="K89" i="10"/>
  <c r="I90" i="10"/>
  <c r="Q90" i="10" s="1"/>
  <c r="R90" i="10" s="1"/>
  <c r="J90" i="10"/>
  <c r="K90" i="10"/>
  <c r="I91" i="10"/>
  <c r="Q91" i="10" s="1"/>
  <c r="I97" i="10"/>
  <c r="Q97" i="10" s="1"/>
  <c r="I98" i="10"/>
  <c r="Q98" i="10" s="1"/>
  <c r="J99" i="10"/>
  <c r="K99" i="10"/>
  <c r="G100" i="10"/>
  <c r="I100" i="10" s="1"/>
  <c r="Q100" i="10" s="1"/>
  <c r="R100" i="10" s="1"/>
  <c r="K100" i="10"/>
  <c r="I101" i="10"/>
  <c r="Q101" i="10" s="1"/>
  <c r="R101" i="10" s="1"/>
  <c r="J101" i="10"/>
  <c r="K101" i="10"/>
  <c r="I102" i="10"/>
  <c r="Q102" i="10" s="1"/>
  <c r="R102" i="10" s="1"/>
  <c r="J102" i="10"/>
  <c r="K102" i="10"/>
  <c r="I103" i="10"/>
  <c r="Q103" i="10" s="1"/>
  <c r="I104" i="10"/>
  <c r="Q104" i="10" s="1"/>
  <c r="I105" i="10"/>
  <c r="Q105" i="10" s="1"/>
  <c r="R105" i="10" s="1"/>
  <c r="J105" i="10"/>
  <c r="K105" i="10"/>
  <c r="I106" i="10"/>
  <c r="Q106" i="10" s="1"/>
  <c r="I107" i="10"/>
  <c r="Q107" i="10" s="1"/>
  <c r="R107" i="10" s="1"/>
  <c r="J107" i="10"/>
  <c r="K107" i="10"/>
  <c r="G111" i="10"/>
  <c r="I111" i="10" s="1"/>
  <c r="Q111" i="10" s="1"/>
  <c r="R111" i="10" s="1"/>
  <c r="K111" i="10"/>
  <c r="G112" i="10"/>
  <c r="I112" i="10" s="1"/>
  <c r="Q112" i="10" s="1"/>
  <c r="R112" i="10" s="1"/>
  <c r="K112" i="10"/>
  <c r="G113" i="10"/>
  <c r="I113" i="10" s="1"/>
  <c r="Q113" i="10" s="1"/>
  <c r="R113" i="10" s="1"/>
  <c r="K113" i="10"/>
  <c r="G114" i="10"/>
  <c r="I114" i="10" s="1"/>
  <c r="Q114" i="10" s="1"/>
  <c r="R114" i="10" s="1"/>
  <c r="K114" i="10"/>
  <c r="I115" i="10"/>
  <c r="J115" i="10"/>
  <c r="K115" i="10"/>
  <c r="I118" i="10"/>
  <c r="Q118" i="10" s="1"/>
  <c r="R118" i="10" s="1"/>
  <c r="J118" i="10"/>
  <c r="K118" i="10"/>
  <c r="I119" i="10"/>
  <c r="Q119" i="10" s="1"/>
  <c r="R119" i="10" s="1"/>
  <c r="J119" i="10"/>
  <c r="K119" i="10"/>
  <c r="I120" i="10"/>
  <c r="Q120" i="10" s="1"/>
  <c r="R120" i="10" s="1"/>
  <c r="J120" i="10"/>
  <c r="K120" i="10"/>
  <c r="I121" i="10"/>
  <c r="Q121" i="10" s="1"/>
  <c r="I122" i="10"/>
  <c r="Q122" i="10" s="1"/>
  <c r="I123" i="10"/>
  <c r="J123" i="10"/>
  <c r="K123" i="10"/>
  <c r="I129" i="10"/>
  <c r="Q129" i="10" s="1"/>
  <c r="I130" i="10"/>
  <c r="Q130" i="10" s="1"/>
  <c r="R130" i="10" s="1"/>
  <c r="J130" i="10"/>
  <c r="K130" i="10"/>
  <c r="I131" i="10"/>
  <c r="Q131" i="10" s="1"/>
  <c r="I132" i="10"/>
  <c r="Q132" i="10" s="1"/>
  <c r="R132" i="10" s="1"/>
  <c r="J132" i="10"/>
  <c r="K132" i="10"/>
  <c r="I133" i="10"/>
  <c r="Q133" i="10" s="1"/>
  <c r="I134" i="10"/>
  <c r="Q134" i="10" s="1"/>
  <c r="I142" i="10"/>
  <c r="Q142" i="10" s="1"/>
  <c r="R142" i="10" s="1"/>
  <c r="J142" i="10"/>
  <c r="K142" i="10"/>
  <c r="I143" i="10"/>
  <c r="Q143" i="10" s="1"/>
  <c r="R143" i="10" s="1"/>
  <c r="J143" i="10"/>
  <c r="K143" i="10"/>
  <c r="I144" i="10"/>
  <c r="Q144" i="10" s="1"/>
  <c r="R144" i="10" s="1"/>
  <c r="J144" i="10"/>
  <c r="K144" i="10"/>
  <c r="I145" i="10"/>
  <c r="Q145" i="10" s="1"/>
  <c r="R145" i="10" s="1"/>
  <c r="J145" i="10"/>
  <c r="K145" i="10"/>
  <c r="I146" i="10"/>
  <c r="Q146" i="10" s="1"/>
  <c r="R146" i="10" s="1"/>
  <c r="J146" i="10"/>
  <c r="K146" i="10"/>
  <c r="I147" i="10"/>
  <c r="Q147" i="10" s="1"/>
  <c r="R147" i="10" s="1"/>
  <c r="J147" i="10"/>
  <c r="K147" i="10"/>
  <c r="I148" i="10"/>
  <c r="Q148" i="10" s="1"/>
  <c r="R148" i="10" s="1"/>
  <c r="J148" i="10"/>
  <c r="K148" i="10"/>
  <c r="I149" i="10"/>
  <c r="J149" i="10"/>
  <c r="K149" i="10"/>
  <c r="I150" i="10"/>
  <c r="J150" i="10"/>
  <c r="K150" i="10"/>
  <c r="Q99" i="10"/>
  <c r="R99" i="10" s="1"/>
  <c r="R16" i="10"/>
  <c r="P17" i="10"/>
  <c r="E122" i="10"/>
  <c r="J122" i="10" s="1"/>
  <c r="L133" i="15" l="1"/>
  <c r="L87" i="15"/>
  <c r="K90" i="15"/>
  <c r="L104" i="15"/>
  <c r="L114" i="15"/>
  <c r="G73" i="15"/>
  <c r="J73" i="15" s="1"/>
  <c r="L73" i="15" s="1"/>
  <c r="J53" i="15"/>
  <c r="L89" i="15"/>
  <c r="I133" i="15"/>
  <c r="K103" i="15"/>
  <c r="L103" i="15" s="1"/>
  <c r="L110" i="15"/>
  <c r="L99" i="15"/>
  <c r="J122" i="15"/>
  <c r="L122" i="15" s="1"/>
  <c r="J80" i="15"/>
  <c r="L80" i="15" s="1"/>
  <c r="K26" i="15"/>
  <c r="L26" i="15" s="1"/>
  <c r="L88" i="15"/>
  <c r="L139" i="15"/>
  <c r="K27" i="15"/>
  <c r="K33" i="15"/>
  <c r="L33" i="15" s="1"/>
  <c r="J71" i="15"/>
  <c r="L71" i="15" s="1"/>
  <c r="L115" i="15"/>
  <c r="L126" i="15"/>
  <c r="J67" i="15"/>
  <c r="L67" i="15" s="1"/>
  <c r="J35" i="15"/>
  <c r="K54" i="15"/>
  <c r="L54" i="15" s="1"/>
  <c r="L140" i="15"/>
  <c r="K40" i="15"/>
  <c r="L40" i="15" s="1"/>
  <c r="J63" i="15"/>
  <c r="L63" i="15" s="1"/>
  <c r="J101" i="15"/>
  <c r="L101" i="15" s="1"/>
  <c r="J123" i="15"/>
  <c r="I35" i="15"/>
  <c r="L86" i="15"/>
  <c r="K35" i="15"/>
  <c r="L141" i="15"/>
  <c r="L42" i="15"/>
  <c r="I151" i="18"/>
  <c r="E19" i="17" s="1"/>
  <c r="I131" i="18"/>
  <c r="H131" i="18" s="1"/>
  <c r="I112" i="18"/>
  <c r="H112" i="18" s="1"/>
  <c r="I94" i="18"/>
  <c r="H94" i="18" s="1"/>
  <c r="I79" i="18"/>
  <c r="H79" i="18" s="1"/>
  <c r="I67" i="18"/>
  <c r="H67" i="18" s="1"/>
  <c r="I51" i="18"/>
  <c r="H51" i="18" s="1"/>
  <c r="I39" i="18"/>
  <c r="H39" i="18" s="1"/>
  <c r="I27" i="18"/>
  <c r="H27" i="18" s="1"/>
  <c r="I12" i="18"/>
  <c r="H12" i="18" s="1"/>
  <c r="I98" i="18"/>
  <c r="H98" i="18" s="1"/>
  <c r="I148" i="18"/>
  <c r="H148" i="18" s="1"/>
  <c r="I130" i="18"/>
  <c r="H130" i="18" s="1"/>
  <c r="I108" i="18"/>
  <c r="H108" i="18" s="1"/>
  <c r="I93" i="18"/>
  <c r="H93" i="18" s="1"/>
  <c r="I78" i="18"/>
  <c r="H78" i="18" s="1"/>
  <c r="I66" i="18"/>
  <c r="H66" i="18" s="1"/>
  <c r="I50" i="18"/>
  <c r="H50" i="18" s="1"/>
  <c r="I38" i="18"/>
  <c r="H38" i="18" s="1"/>
  <c r="I26" i="18"/>
  <c r="H26" i="18" s="1"/>
  <c r="I29" i="18"/>
  <c r="H29" i="18" s="1"/>
  <c r="I52" i="18"/>
  <c r="H52" i="18" s="1"/>
  <c r="I147" i="18"/>
  <c r="H147" i="18" s="1"/>
  <c r="I129" i="18"/>
  <c r="H129" i="18" s="1"/>
  <c r="I107" i="18"/>
  <c r="H107" i="18" s="1"/>
  <c r="I92" i="18"/>
  <c r="H92" i="18" s="1"/>
  <c r="I77" i="18"/>
  <c r="H77" i="18" s="1"/>
  <c r="I61" i="18"/>
  <c r="H61" i="18" s="1"/>
  <c r="I49" i="18"/>
  <c r="H49" i="18" s="1"/>
  <c r="I37" i="18"/>
  <c r="H37" i="18" s="1"/>
  <c r="I25" i="18"/>
  <c r="H25" i="18" s="1"/>
  <c r="I19" i="18"/>
  <c r="H19" i="18" s="1"/>
  <c r="I68" i="18"/>
  <c r="H68" i="18" s="1"/>
  <c r="I146" i="18"/>
  <c r="H146" i="18" s="1"/>
  <c r="I128" i="18"/>
  <c r="H128" i="18" s="1"/>
  <c r="I106" i="18"/>
  <c r="H106" i="18" s="1"/>
  <c r="I91" i="18"/>
  <c r="H91" i="18" s="1"/>
  <c r="I76" i="18"/>
  <c r="H76" i="18" s="1"/>
  <c r="I60" i="18"/>
  <c r="H60" i="18" s="1"/>
  <c r="I48" i="18"/>
  <c r="H48" i="18" s="1"/>
  <c r="I36" i="18"/>
  <c r="H36" i="18" s="1"/>
  <c r="I24" i="18"/>
  <c r="H24" i="18" s="1"/>
  <c r="I53" i="18"/>
  <c r="H53" i="18" s="1"/>
  <c r="I132" i="18"/>
  <c r="H132" i="18" s="1"/>
  <c r="I145" i="18"/>
  <c r="H145" i="18" s="1"/>
  <c r="I123" i="18"/>
  <c r="H123" i="18" s="1"/>
  <c r="I105" i="18"/>
  <c r="H105" i="18" s="1"/>
  <c r="I90" i="18"/>
  <c r="H90" i="18" s="1"/>
  <c r="I75" i="18"/>
  <c r="H75" i="18" s="1"/>
  <c r="I59" i="18"/>
  <c r="H59" i="18" s="1"/>
  <c r="I47" i="18"/>
  <c r="I35" i="18"/>
  <c r="H35" i="18" s="1"/>
  <c r="I13" i="18"/>
  <c r="H13" i="18" s="1"/>
  <c r="I41" i="18"/>
  <c r="H41" i="18" s="1"/>
  <c r="I113" i="18"/>
  <c r="H113" i="18" s="1"/>
  <c r="I144" i="18"/>
  <c r="H144" i="18" s="1"/>
  <c r="I122" i="18"/>
  <c r="H122" i="18" s="1"/>
  <c r="I104" i="18"/>
  <c r="H104" i="18" s="1"/>
  <c r="I86" i="18"/>
  <c r="H86" i="18" s="1"/>
  <c r="I74" i="18"/>
  <c r="H74" i="18" s="1"/>
  <c r="I58" i="18"/>
  <c r="H58" i="18" s="1"/>
  <c r="I46" i="18"/>
  <c r="H46" i="18" s="1"/>
  <c r="I34" i="18"/>
  <c r="H34" i="18" s="1"/>
  <c r="I14" i="18"/>
  <c r="H14" i="18" s="1"/>
  <c r="I99" i="18"/>
  <c r="I20" i="18"/>
  <c r="H20" i="18" s="1"/>
  <c r="I143" i="18"/>
  <c r="H143" i="18" s="1"/>
  <c r="I121" i="18"/>
  <c r="H121" i="18" s="1"/>
  <c r="I103" i="18"/>
  <c r="H103" i="18" s="1"/>
  <c r="I85" i="18"/>
  <c r="H85" i="18" s="1"/>
  <c r="I73" i="18"/>
  <c r="H73" i="18" s="1"/>
  <c r="I57" i="18"/>
  <c r="H57" i="18" s="1"/>
  <c r="I45" i="18"/>
  <c r="H45" i="18" s="1"/>
  <c r="I33" i="18"/>
  <c r="H33" i="18" s="1"/>
  <c r="I15" i="18"/>
  <c r="H15" i="18" s="1"/>
  <c r="I81" i="18"/>
  <c r="H81" i="18" s="1"/>
  <c r="I139" i="18"/>
  <c r="H139" i="18" s="1"/>
  <c r="I120" i="18"/>
  <c r="H120" i="18" s="1"/>
  <c r="I102" i="18"/>
  <c r="H102" i="18" s="1"/>
  <c r="I84" i="18"/>
  <c r="H84" i="18" s="1"/>
  <c r="I72" i="18"/>
  <c r="H72" i="18" s="1"/>
  <c r="I56" i="18"/>
  <c r="H56" i="18" s="1"/>
  <c r="I44" i="18"/>
  <c r="H44" i="18" s="1"/>
  <c r="I32" i="18"/>
  <c r="H32" i="18" s="1"/>
  <c r="I16" i="18"/>
  <c r="H16" i="18" s="1"/>
  <c r="I69" i="18"/>
  <c r="H69" i="18" s="1"/>
  <c r="I80" i="18"/>
  <c r="H80" i="18" s="1"/>
  <c r="I138" i="18"/>
  <c r="H138" i="18" s="1"/>
  <c r="I119" i="18"/>
  <c r="H119" i="18" s="1"/>
  <c r="I101" i="18"/>
  <c r="H101" i="18" s="1"/>
  <c r="I83" i="18"/>
  <c r="H83" i="18" s="1"/>
  <c r="I71" i="18"/>
  <c r="H71" i="18" s="1"/>
  <c r="I55" i="18"/>
  <c r="H55" i="18" s="1"/>
  <c r="I43" i="18"/>
  <c r="H43" i="18" s="1"/>
  <c r="I31" i="18"/>
  <c r="H31" i="18" s="1"/>
  <c r="I17" i="18"/>
  <c r="H17" i="18" s="1"/>
  <c r="I114" i="18"/>
  <c r="H114" i="18" s="1"/>
  <c r="I40" i="18"/>
  <c r="H40" i="18" s="1"/>
  <c r="I134" i="18"/>
  <c r="H134" i="18" s="1"/>
  <c r="I115" i="18"/>
  <c r="H115" i="18" s="1"/>
  <c r="I100" i="18"/>
  <c r="H100" i="18" s="1"/>
  <c r="I82" i="18"/>
  <c r="H82" i="18" s="1"/>
  <c r="I70" i="18"/>
  <c r="H70" i="18" s="1"/>
  <c r="I54" i="18"/>
  <c r="H54" i="18" s="1"/>
  <c r="I42" i="18"/>
  <c r="H42" i="18" s="1"/>
  <c r="I30" i="18"/>
  <c r="H30" i="18" s="1"/>
  <c r="I18" i="18"/>
  <c r="H18" i="18" s="1"/>
  <c r="I133" i="18"/>
  <c r="H133" i="18" s="1"/>
  <c r="I28" i="18"/>
  <c r="H28" i="18" s="1"/>
  <c r="I97" i="18"/>
  <c r="E43" i="18"/>
  <c r="E99" i="18"/>
  <c r="E47" i="18"/>
  <c r="L102" i="15"/>
  <c r="K31" i="15"/>
  <c r="J57" i="15"/>
  <c r="L57" i="15" s="1"/>
  <c r="J75" i="15"/>
  <c r="L75" i="15" s="1"/>
  <c r="J78" i="15"/>
  <c r="L78" i="15" s="1"/>
  <c r="J81" i="15"/>
  <c r="L81" i="15" s="1"/>
  <c r="L98" i="15"/>
  <c r="L109" i="15"/>
  <c r="K117" i="15"/>
  <c r="L117" i="15" s="1"/>
  <c r="L123" i="15"/>
  <c r="K127" i="15"/>
  <c r="L53" i="15"/>
  <c r="L136" i="15"/>
  <c r="K23" i="15"/>
  <c r="L23" i="15" s="1"/>
  <c r="J50" i="15"/>
  <c r="L50" i="15" s="1"/>
  <c r="J94" i="15"/>
  <c r="L90" i="15"/>
  <c r="L82" i="15"/>
  <c r="K94" i="15"/>
  <c r="K32" i="15"/>
  <c r="L32" i="15" s="1"/>
  <c r="J72" i="15"/>
  <c r="L72" i="15" s="1"/>
  <c r="J82" i="15"/>
  <c r="L118" i="15"/>
  <c r="L124" i="15"/>
  <c r="L137" i="15"/>
  <c r="J47" i="15"/>
  <c r="L47" i="15" s="1"/>
  <c r="J58" i="15"/>
  <c r="L58" i="15" s="1"/>
  <c r="J65" i="15"/>
  <c r="L65" i="15" s="1"/>
  <c r="J69" i="15"/>
  <c r="L69" i="15" s="1"/>
  <c r="J76" i="15"/>
  <c r="L76" i="15" s="1"/>
  <c r="J79" i="15"/>
  <c r="L79" i="15" s="1"/>
  <c r="L138" i="15"/>
  <c r="K24" i="15"/>
  <c r="K28" i="15"/>
  <c r="L28" i="15" s="1"/>
  <c r="K43" i="15"/>
  <c r="L43" i="15" s="1"/>
  <c r="J48" i="15"/>
  <c r="L48" i="15" s="1"/>
  <c r="K55" i="15"/>
  <c r="L55" i="15" s="1"/>
  <c r="L107" i="15"/>
  <c r="L52" i="15"/>
  <c r="L96" i="15"/>
  <c r="K25" i="15"/>
  <c r="L25" i="15" s="1"/>
  <c r="K29" i="15"/>
  <c r="K44" i="15"/>
  <c r="L44" i="15" s="1"/>
  <c r="J56" i="15"/>
  <c r="L56" i="15" s="1"/>
  <c r="J77" i="15"/>
  <c r="L77" i="15" s="1"/>
  <c r="L142" i="15"/>
  <c r="K22" i="15"/>
  <c r="L22" i="15" s="1"/>
  <c r="J49" i="15"/>
  <c r="L49" i="15" s="1"/>
  <c r="L74" i="15"/>
  <c r="L108" i="15"/>
  <c r="L113" i="15"/>
  <c r="K95" i="15"/>
  <c r="J95" i="15"/>
  <c r="L31" i="15"/>
  <c r="L127" i="15"/>
  <c r="L27" i="15"/>
  <c r="G41" i="15"/>
  <c r="J38" i="15"/>
  <c r="L38" i="15" s="1"/>
  <c r="I38" i="15"/>
  <c r="L24" i="15"/>
  <c r="K30" i="15"/>
  <c r="J30" i="15"/>
  <c r="J36" i="15"/>
  <c r="L36" i="15" s="1"/>
  <c r="I36" i="15"/>
  <c r="L97" i="15"/>
  <c r="J29" i="15"/>
  <c r="I37" i="15"/>
  <c r="I49" i="15"/>
  <c r="I97" i="15"/>
  <c r="J37" i="15"/>
  <c r="L37" i="15" s="1"/>
  <c r="J39" i="15"/>
  <c r="L39" i="15" s="1"/>
  <c r="J51" i="15"/>
  <c r="L51" i="15" s="1"/>
  <c r="J62" i="15"/>
  <c r="L62" i="15" s="1"/>
  <c r="J64" i="15"/>
  <c r="L64" i="15" s="1"/>
  <c r="J66" i="15"/>
  <c r="L66" i="15" s="1"/>
  <c r="J68" i="15"/>
  <c r="L68" i="15" s="1"/>
  <c r="J125" i="15"/>
  <c r="L125" i="15" s="1"/>
  <c r="J70" i="15"/>
  <c r="L70" i="15" s="1"/>
  <c r="I82" i="15"/>
  <c r="I108" i="15"/>
  <c r="I110" i="15"/>
  <c r="J128" i="15"/>
  <c r="L128" i="15" s="1"/>
  <c r="E34" i="15"/>
  <c r="K34" i="15" s="1"/>
  <c r="L34" i="15" s="1"/>
  <c r="J116" i="15"/>
  <c r="L116" i="15" s="1"/>
  <c r="I138" i="15"/>
  <c r="J46" i="15"/>
  <c r="L46" i="15" s="1"/>
  <c r="J100" i="15"/>
  <c r="L100" i="15" s="1"/>
  <c r="I73" i="15"/>
  <c r="I107" i="15"/>
  <c r="I109" i="15"/>
  <c r="J132" i="15"/>
  <c r="L132" i="15" s="1"/>
  <c r="L134" i="15" s="1"/>
  <c r="R111" i="13"/>
  <c r="S111" i="13" s="1"/>
  <c r="R84" i="13"/>
  <c r="Y21" i="13"/>
  <c r="J43" i="13"/>
  <c r="R109" i="13"/>
  <c r="S109" i="13" s="1"/>
  <c r="AL109" i="13" s="1"/>
  <c r="K34" i="13"/>
  <c r="L34" i="13" s="1"/>
  <c r="L155" i="13"/>
  <c r="L148" i="13"/>
  <c r="R44" i="13"/>
  <c r="S44" i="13" s="1"/>
  <c r="R41" i="13"/>
  <c r="S41" i="13" s="1"/>
  <c r="X41" i="13" s="1"/>
  <c r="L123" i="13"/>
  <c r="S152" i="13"/>
  <c r="A28" i="13"/>
  <c r="A29" i="13" s="1"/>
  <c r="A30" i="13" s="1"/>
  <c r="S123" i="13"/>
  <c r="Y123" i="13" s="1"/>
  <c r="R56" i="13"/>
  <c r="S56" i="13" s="1"/>
  <c r="S57" i="13"/>
  <c r="Y57" i="13" s="1"/>
  <c r="J111" i="13"/>
  <c r="S15" i="13"/>
  <c r="T15" i="13" s="1"/>
  <c r="S93" i="13"/>
  <c r="AF93" i="13" s="1"/>
  <c r="AG93" i="13" s="1"/>
  <c r="AH93" i="13" s="1"/>
  <c r="AI93" i="13" s="1"/>
  <c r="AJ93" i="13" s="1"/>
  <c r="AK93" i="13" s="1"/>
  <c r="AL93" i="13" s="1"/>
  <c r="AM93" i="13" s="1"/>
  <c r="S40" i="13"/>
  <c r="X40" i="13" s="1"/>
  <c r="R63" i="13"/>
  <c r="S63" i="13" s="1"/>
  <c r="Y63" i="13" s="1"/>
  <c r="R43" i="13"/>
  <c r="S43" i="13" s="1"/>
  <c r="Y43" i="13" s="1"/>
  <c r="S112" i="13"/>
  <c r="S50" i="13"/>
  <c r="R72" i="13"/>
  <c r="S72" i="13" s="1"/>
  <c r="AC72" i="13" s="1"/>
  <c r="S94" i="13"/>
  <c r="AF94" i="13" s="1"/>
  <c r="AG94" i="13" s="1"/>
  <c r="AH94" i="13" s="1"/>
  <c r="AI94" i="13" s="1"/>
  <c r="AJ94" i="13" s="1"/>
  <c r="AK94" i="13" s="1"/>
  <c r="AL94" i="13" s="1"/>
  <c r="AM94" i="13" s="1"/>
  <c r="L125" i="13"/>
  <c r="L95" i="13"/>
  <c r="L143" i="13"/>
  <c r="S26" i="13"/>
  <c r="T26" i="13" s="1"/>
  <c r="J36" i="13"/>
  <c r="L36" i="13" s="1"/>
  <c r="L104" i="13"/>
  <c r="R133" i="13"/>
  <c r="S133" i="13" s="1"/>
  <c r="AP133" i="13" s="1"/>
  <c r="L118" i="13"/>
  <c r="L144" i="13"/>
  <c r="R52" i="13"/>
  <c r="S52" i="13" s="1"/>
  <c r="Y52" i="13" s="1"/>
  <c r="R32" i="13"/>
  <c r="S32" i="13" s="1"/>
  <c r="W32" i="13" s="1"/>
  <c r="X32" i="13" s="1"/>
  <c r="J72" i="13"/>
  <c r="L72" i="13" s="1"/>
  <c r="J83" i="13"/>
  <c r="L83" i="13" s="1"/>
  <c r="S95" i="13"/>
  <c r="AF95" i="13" s="1"/>
  <c r="AG95" i="13" s="1"/>
  <c r="AH95" i="13" s="1"/>
  <c r="AI95" i="13" s="1"/>
  <c r="AJ95" i="13" s="1"/>
  <c r="AK95" i="13" s="1"/>
  <c r="AL95" i="13" s="1"/>
  <c r="AM95" i="13" s="1"/>
  <c r="S110" i="13"/>
  <c r="R51" i="13"/>
  <c r="S51" i="13" s="1"/>
  <c r="Y51" i="13" s="1"/>
  <c r="L152" i="13"/>
  <c r="K46" i="13"/>
  <c r="L46" i="13" s="1"/>
  <c r="R77" i="13"/>
  <c r="S77" i="13" s="1"/>
  <c r="AF77" i="13" s="1"/>
  <c r="S104" i="13"/>
  <c r="S17" i="13"/>
  <c r="T17" i="13" s="1"/>
  <c r="R54" i="13"/>
  <c r="S54" i="13" s="1"/>
  <c r="Y54" i="13" s="1"/>
  <c r="R59" i="13"/>
  <c r="S59" i="13" s="1"/>
  <c r="Y59" i="13" s="1"/>
  <c r="K68" i="13"/>
  <c r="L68" i="13" s="1"/>
  <c r="R78" i="13"/>
  <c r="S78" i="13" s="1"/>
  <c r="AF78" i="13" s="1"/>
  <c r="G88" i="13"/>
  <c r="I88" i="13" s="1"/>
  <c r="Q88" i="13" s="1"/>
  <c r="R88" i="13" s="1"/>
  <c r="S88" i="13" s="1"/>
  <c r="AF88" i="13" s="1"/>
  <c r="R139" i="13"/>
  <c r="S139" i="13" s="1"/>
  <c r="AP139" i="13" s="1"/>
  <c r="AQ139" i="13" s="1"/>
  <c r="AR139" i="13" s="1"/>
  <c r="AS139" i="13" s="1"/>
  <c r="R81" i="13"/>
  <c r="S81" i="13" s="1"/>
  <c r="AF81" i="13" s="1"/>
  <c r="R103" i="13"/>
  <c r="S103" i="13" s="1"/>
  <c r="AJ103" i="13" s="1"/>
  <c r="R31" i="13"/>
  <c r="S31" i="13" s="1"/>
  <c r="L137" i="13"/>
  <c r="P19" i="13"/>
  <c r="Q19" i="13" s="1"/>
  <c r="R19" i="13" s="1"/>
  <c r="S19" i="13" s="1"/>
  <c r="T19" i="13" s="1"/>
  <c r="S148" i="13"/>
  <c r="T148" i="13" s="1"/>
  <c r="R34" i="13"/>
  <c r="S34" i="13" s="1"/>
  <c r="L50" i="13"/>
  <c r="R60" i="13"/>
  <c r="S60" i="13" s="1"/>
  <c r="Y60" i="13" s="1"/>
  <c r="R73" i="13"/>
  <c r="S73" i="13" s="1"/>
  <c r="AC73" i="13" s="1"/>
  <c r="J84" i="13"/>
  <c r="L84" i="13" s="1"/>
  <c r="J117" i="13"/>
  <c r="L117" i="13" s="1"/>
  <c r="R126" i="13"/>
  <c r="S126" i="13" s="1"/>
  <c r="Y126" i="13" s="1"/>
  <c r="R136" i="13"/>
  <c r="S136" i="13" s="1"/>
  <c r="AP136" i="13" s="1"/>
  <c r="R85" i="13"/>
  <c r="S85" i="13" s="1"/>
  <c r="AF85" i="13" s="1"/>
  <c r="K71" i="13"/>
  <c r="L71" i="13" s="1"/>
  <c r="G28" i="13"/>
  <c r="G37" i="13" s="1"/>
  <c r="I37" i="13" s="1"/>
  <c r="Q37" i="13" s="1"/>
  <c r="R37" i="13" s="1"/>
  <c r="S37" i="13" s="1"/>
  <c r="X37" i="13" s="1"/>
  <c r="R68" i="13"/>
  <c r="S68" i="13" s="1"/>
  <c r="S106" i="13"/>
  <c r="AL106" i="13" s="1"/>
  <c r="S22" i="13"/>
  <c r="T22" i="13" s="1"/>
  <c r="L106" i="13"/>
  <c r="R86" i="13"/>
  <c r="S86" i="13" s="1"/>
  <c r="R108" i="13"/>
  <c r="S108" i="13" s="1"/>
  <c r="AL108" i="13" s="1"/>
  <c r="L111" i="13"/>
  <c r="L151" i="13"/>
  <c r="R38" i="13"/>
  <c r="S38" i="13" s="1"/>
  <c r="L57" i="13"/>
  <c r="S80" i="13"/>
  <c r="L93" i="13"/>
  <c r="J108" i="13"/>
  <c r="L108" i="13" s="1"/>
  <c r="R138" i="13"/>
  <c r="S138" i="13" s="1"/>
  <c r="AP138" i="13" s="1"/>
  <c r="S144" i="13"/>
  <c r="AT144" i="13" s="1"/>
  <c r="AW144" i="13" s="1"/>
  <c r="AX144" i="13" s="1"/>
  <c r="L26" i="13"/>
  <c r="R27" i="13"/>
  <c r="S27" i="13" s="1"/>
  <c r="V27" i="13" s="1"/>
  <c r="K75" i="13"/>
  <c r="L75" i="13" s="1"/>
  <c r="L105" i="13"/>
  <c r="S135" i="13"/>
  <c r="AP135" i="13" s="1"/>
  <c r="S143" i="13"/>
  <c r="AT143" i="13" s="1"/>
  <c r="AW143" i="13" s="1"/>
  <c r="AX143" i="13" s="1"/>
  <c r="K31" i="13"/>
  <c r="L31" i="13" s="1"/>
  <c r="K55" i="13"/>
  <c r="L55" i="13" s="1"/>
  <c r="K59" i="13"/>
  <c r="L59" i="13" s="1"/>
  <c r="R35" i="13"/>
  <c r="S35" i="13" s="1"/>
  <c r="J63" i="13"/>
  <c r="L63" i="13" s="1"/>
  <c r="K77" i="13"/>
  <c r="L77" i="13" s="1"/>
  <c r="K85" i="13"/>
  <c r="L85" i="13" s="1"/>
  <c r="L92" i="13"/>
  <c r="K103" i="13"/>
  <c r="L103" i="13" s="1"/>
  <c r="S107" i="13"/>
  <c r="AL107" i="13" s="1"/>
  <c r="S125" i="13"/>
  <c r="Y125" i="13" s="1"/>
  <c r="L149" i="13"/>
  <c r="L40" i="13"/>
  <c r="R55" i="13"/>
  <c r="S55" i="13" s="1"/>
  <c r="Y55" i="13" s="1"/>
  <c r="L94" i="13"/>
  <c r="S124" i="13"/>
  <c r="Y124" i="13" s="1"/>
  <c r="R47" i="13"/>
  <c r="S47" i="13" s="1"/>
  <c r="Y47" i="13" s="1"/>
  <c r="K81" i="13"/>
  <c r="L81" i="13" s="1"/>
  <c r="K51" i="13"/>
  <c r="L51" i="13" s="1"/>
  <c r="L128" i="13"/>
  <c r="J48" i="13"/>
  <c r="L48" i="13" s="1"/>
  <c r="G70" i="13"/>
  <c r="I70" i="13" s="1"/>
  <c r="Q70" i="13" s="1"/>
  <c r="R70" i="13" s="1"/>
  <c r="S70" i="13" s="1"/>
  <c r="AC70" i="13" s="1"/>
  <c r="R82" i="13"/>
  <c r="S82" i="13" s="1"/>
  <c r="AF82" i="13" s="1"/>
  <c r="L120" i="13"/>
  <c r="S137" i="13"/>
  <c r="AP137" i="13" s="1"/>
  <c r="R46" i="13"/>
  <c r="S46" i="13" s="1"/>
  <c r="Y46" i="13" s="1"/>
  <c r="L147" i="13"/>
  <c r="L43" i="13"/>
  <c r="S84" i="13"/>
  <c r="AF84" i="13" s="1"/>
  <c r="K88" i="13"/>
  <c r="L112" i="13"/>
  <c r="S149" i="13"/>
  <c r="T149" i="13" s="1"/>
  <c r="S20" i="13"/>
  <c r="R69" i="13"/>
  <c r="S69" i="13" s="1"/>
  <c r="AC69" i="13" s="1"/>
  <c r="K136" i="13"/>
  <c r="L136" i="13" s="1"/>
  <c r="S150" i="13"/>
  <c r="T150" i="13" s="1"/>
  <c r="S117" i="13"/>
  <c r="AJ117" i="13" s="1"/>
  <c r="S151" i="13"/>
  <c r="T151" i="13" s="1"/>
  <c r="S14" i="13"/>
  <c r="G30" i="13"/>
  <c r="I29" i="13"/>
  <c r="Q29" i="13" s="1"/>
  <c r="R29" i="13" s="1"/>
  <c r="S29" i="13" s="1"/>
  <c r="V29" i="13" s="1"/>
  <c r="J29" i="13"/>
  <c r="L29" i="13" s="1"/>
  <c r="S92" i="13"/>
  <c r="K53" i="13"/>
  <c r="J53" i="13"/>
  <c r="L80" i="13"/>
  <c r="L119" i="13"/>
  <c r="R53" i="13"/>
  <c r="S53" i="13" s="1"/>
  <c r="Y53" i="13" s="1"/>
  <c r="L110" i="13"/>
  <c r="L135" i="13"/>
  <c r="G79" i="13"/>
  <c r="I79" i="13" s="1"/>
  <c r="Q79" i="13" s="1"/>
  <c r="R79" i="13" s="1"/>
  <c r="S79" i="13" s="1"/>
  <c r="AF79" i="13" s="1"/>
  <c r="J76" i="13"/>
  <c r="L76" i="13" s="1"/>
  <c r="I76" i="13"/>
  <c r="Q76" i="13" s="1"/>
  <c r="R76" i="13" s="1"/>
  <c r="S76" i="13" s="1"/>
  <c r="AF76" i="13" s="1"/>
  <c r="K96" i="13"/>
  <c r="J96" i="13"/>
  <c r="R154" i="13"/>
  <c r="S147" i="13"/>
  <c r="T147" i="13" s="1"/>
  <c r="J61" i="13"/>
  <c r="K61" i="13"/>
  <c r="K32" i="13"/>
  <c r="J32" i="13"/>
  <c r="R61" i="13"/>
  <c r="S61" i="13" s="1"/>
  <c r="Y61" i="13" s="1"/>
  <c r="K45" i="13"/>
  <c r="J45" i="13"/>
  <c r="J74" i="13"/>
  <c r="K74" i="13"/>
  <c r="L124" i="13"/>
  <c r="J138" i="13"/>
  <c r="L138" i="13" s="1"/>
  <c r="K35" i="13"/>
  <c r="J35" i="13"/>
  <c r="K27" i="13"/>
  <c r="J27" i="13"/>
  <c r="R42" i="13"/>
  <c r="S42" i="13" s="1"/>
  <c r="X42" i="13" s="1"/>
  <c r="R58" i="13"/>
  <c r="S58" i="13" s="1"/>
  <c r="Y58" i="13" s="1"/>
  <c r="K62" i="13"/>
  <c r="L62" i="13" s="1"/>
  <c r="R74" i="13"/>
  <c r="S74" i="13" s="1"/>
  <c r="R87" i="13"/>
  <c r="S87" i="13" s="1"/>
  <c r="AF87" i="13" s="1"/>
  <c r="I116" i="13"/>
  <c r="Q116" i="13" s="1"/>
  <c r="R116" i="13" s="1"/>
  <c r="S18" i="13"/>
  <c r="T18" i="13" s="1"/>
  <c r="J33" i="13"/>
  <c r="L33" i="13" s="1"/>
  <c r="J58" i="13"/>
  <c r="L58" i="13" s="1"/>
  <c r="J87" i="13"/>
  <c r="L87" i="13" s="1"/>
  <c r="R102" i="13"/>
  <c r="J127" i="13"/>
  <c r="K127" i="13"/>
  <c r="L154" i="13"/>
  <c r="R8" i="13"/>
  <c r="R48" i="13"/>
  <c r="S48" i="13" s="1"/>
  <c r="Y48" i="13" s="1"/>
  <c r="J38" i="13"/>
  <c r="K38" i="13"/>
  <c r="R83" i="13"/>
  <c r="S83" i="13" s="1"/>
  <c r="AF83" i="13" s="1"/>
  <c r="J102" i="13"/>
  <c r="L116" i="13"/>
  <c r="R127" i="13"/>
  <c r="S127" i="13" s="1"/>
  <c r="Y127" i="13" s="1"/>
  <c r="R96" i="13"/>
  <c r="S96" i="13" s="1"/>
  <c r="AF96" i="13" s="1"/>
  <c r="AG96" i="13" s="1"/>
  <c r="AH96" i="13" s="1"/>
  <c r="AI96" i="13" s="1"/>
  <c r="AJ96" i="13" s="1"/>
  <c r="AK96" i="13" s="1"/>
  <c r="AL96" i="13" s="1"/>
  <c r="AM96" i="13" s="1"/>
  <c r="R45" i="13"/>
  <c r="S45" i="13" s="1"/>
  <c r="Y45" i="13" s="1"/>
  <c r="L150" i="13"/>
  <c r="E49" i="13"/>
  <c r="K49" i="13" s="1"/>
  <c r="L49" i="13" s="1"/>
  <c r="R62" i="13"/>
  <c r="S62" i="13" s="1"/>
  <c r="K42" i="13"/>
  <c r="J42" i="13"/>
  <c r="K70" i="13"/>
  <c r="R145" i="13"/>
  <c r="R33" i="13"/>
  <c r="S33" i="13" s="1"/>
  <c r="P16" i="13"/>
  <c r="Q16" i="13" s="1"/>
  <c r="R16" i="13" s="1"/>
  <c r="J54" i="13"/>
  <c r="L54" i="13" s="1"/>
  <c r="K79" i="13"/>
  <c r="K102" i="13"/>
  <c r="J134" i="13"/>
  <c r="K134" i="13"/>
  <c r="R71" i="13"/>
  <c r="S71" i="13" s="1"/>
  <c r="AC71" i="13" s="1"/>
  <c r="R75" i="13"/>
  <c r="S75" i="13" s="1"/>
  <c r="AF75" i="13" s="1"/>
  <c r="I105" i="13"/>
  <c r="Q105" i="13" s="1"/>
  <c r="R105" i="13" s="1"/>
  <c r="S105" i="13" s="1"/>
  <c r="AL105" i="13" s="1"/>
  <c r="R134" i="13"/>
  <c r="S134" i="13" s="1"/>
  <c r="R36" i="13"/>
  <c r="S36" i="13" s="1"/>
  <c r="K44" i="13"/>
  <c r="J44" i="13"/>
  <c r="K28" i="13"/>
  <c r="L107" i="13"/>
  <c r="I119" i="13"/>
  <c r="Q119" i="13" s="1"/>
  <c r="R119" i="13" s="1"/>
  <c r="S119" i="13" s="1"/>
  <c r="AJ119" i="13" s="1"/>
  <c r="J47" i="13"/>
  <c r="L47" i="13" s="1"/>
  <c r="J52" i="13"/>
  <c r="L52" i="13" s="1"/>
  <c r="J69" i="13"/>
  <c r="L69" i="13" s="1"/>
  <c r="J78" i="13"/>
  <c r="L78" i="13" s="1"/>
  <c r="J82" i="13"/>
  <c r="L82" i="13" s="1"/>
  <c r="J86" i="13"/>
  <c r="L86" i="13" s="1"/>
  <c r="J41" i="13"/>
  <c r="L41" i="13" s="1"/>
  <c r="J60" i="13"/>
  <c r="L60" i="13" s="1"/>
  <c r="J109" i="13"/>
  <c r="L109" i="13" s="1"/>
  <c r="J133" i="13"/>
  <c r="L133" i="13" s="1"/>
  <c r="J56" i="13"/>
  <c r="L56" i="13" s="1"/>
  <c r="J73" i="13"/>
  <c r="L73" i="13" s="1"/>
  <c r="I118" i="13"/>
  <c r="Q118" i="13" s="1"/>
  <c r="R118" i="13" s="1"/>
  <c r="S118" i="13" s="1"/>
  <c r="AJ118" i="13" s="1"/>
  <c r="J126" i="13"/>
  <c r="L126" i="13" s="1"/>
  <c r="J139" i="13"/>
  <c r="L139" i="13" s="1"/>
  <c r="I71" i="10"/>
  <c r="L138" i="10"/>
  <c r="L140" i="10" s="1"/>
  <c r="L115" i="10"/>
  <c r="L89" i="10"/>
  <c r="R140" i="10"/>
  <c r="L107" i="10"/>
  <c r="L88" i="10"/>
  <c r="L87" i="10"/>
  <c r="L101" i="10"/>
  <c r="I37" i="10"/>
  <c r="L150" i="10"/>
  <c r="L146" i="10"/>
  <c r="L142" i="10"/>
  <c r="L118" i="10"/>
  <c r="L45" i="10"/>
  <c r="L123" i="10"/>
  <c r="L149" i="10"/>
  <c r="L90" i="10"/>
  <c r="L120" i="10"/>
  <c r="L132" i="10"/>
  <c r="J100" i="10"/>
  <c r="L100" i="10" s="1"/>
  <c r="G36" i="10"/>
  <c r="J113" i="10"/>
  <c r="L113" i="10" s="1"/>
  <c r="G83" i="10"/>
  <c r="I83" i="10" s="1"/>
  <c r="J114" i="10"/>
  <c r="L114" i="10" s="1"/>
  <c r="L147" i="10"/>
  <c r="L130" i="10"/>
  <c r="L145" i="10"/>
  <c r="I68" i="10"/>
  <c r="Q68" i="10" s="1"/>
  <c r="L144" i="10"/>
  <c r="R122" i="10"/>
  <c r="L99" i="10"/>
  <c r="L102" i="10"/>
  <c r="L119" i="10"/>
  <c r="G41" i="10"/>
  <c r="I41" i="10" s="1"/>
  <c r="L105" i="10"/>
  <c r="L143" i="10"/>
  <c r="L148" i="10"/>
  <c r="R116" i="10"/>
  <c r="J111" i="10"/>
  <c r="L111" i="10" s="1"/>
  <c r="R149" i="10"/>
  <c r="K122" i="10"/>
  <c r="L122" i="10" s="1"/>
  <c r="J112" i="10"/>
  <c r="L112" i="10" s="1"/>
  <c r="E121" i="10"/>
  <c r="E91" i="10"/>
  <c r="R91" i="10" s="1"/>
  <c r="R93" i="10" s="1"/>
  <c r="A88" i="10"/>
  <c r="E83" i="10"/>
  <c r="Q82" i="10"/>
  <c r="E82" i="10"/>
  <c r="Q81" i="10"/>
  <c r="E81" i="10"/>
  <c r="Q80" i="10"/>
  <c r="E80" i="10"/>
  <c r="Q79" i="10"/>
  <c r="E79" i="10"/>
  <c r="Q78" i="10"/>
  <c r="E78" i="10"/>
  <c r="Q77" i="10"/>
  <c r="E77" i="10"/>
  <c r="Q76" i="10"/>
  <c r="E76" i="10"/>
  <c r="Q75" i="10"/>
  <c r="E74" i="10"/>
  <c r="Q73" i="10"/>
  <c r="E73" i="10"/>
  <c r="Q72" i="10"/>
  <c r="E72" i="10"/>
  <c r="Q71" i="10"/>
  <c r="E71" i="10"/>
  <c r="Q70" i="10"/>
  <c r="E70" i="10"/>
  <c r="Q69" i="10"/>
  <c r="E69" i="10"/>
  <c r="E68" i="10"/>
  <c r="Q67" i="10"/>
  <c r="E67" i="10"/>
  <c r="Q66" i="10"/>
  <c r="E66" i="10"/>
  <c r="E65" i="10"/>
  <c r="Q64" i="10"/>
  <c r="E64" i="10"/>
  <c r="Q63" i="10"/>
  <c r="E63" i="10"/>
  <c r="Q58" i="10"/>
  <c r="E58" i="10"/>
  <c r="Q57" i="10"/>
  <c r="E57" i="10"/>
  <c r="Q56" i="10"/>
  <c r="E56" i="10"/>
  <c r="Q55" i="10"/>
  <c r="E55" i="10"/>
  <c r="Q54" i="10"/>
  <c r="E54" i="10"/>
  <c r="Q53" i="10"/>
  <c r="E53" i="10"/>
  <c r="Q52" i="10"/>
  <c r="Q51" i="10"/>
  <c r="E51" i="10"/>
  <c r="Q50" i="10"/>
  <c r="E50" i="10"/>
  <c r="Q49" i="10"/>
  <c r="E49" i="10"/>
  <c r="Q48" i="10"/>
  <c r="E48" i="10"/>
  <c r="Q47" i="10"/>
  <c r="E47" i="10"/>
  <c r="Q46" i="10"/>
  <c r="E46" i="10"/>
  <c r="Q45" i="10"/>
  <c r="R45" i="10" s="1"/>
  <c r="Q44" i="10"/>
  <c r="E44" i="10"/>
  <c r="Q43" i="10"/>
  <c r="E43" i="10"/>
  <c r="Q42" i="10"/>
  <c r="Q40" i="10"/>
  <c r="E40" i="10"/>
  <c r="E39" i="10"/>
  <c r="Q37" i="10"/>
  <c r="E36" i="10"/>
  <c r="A36" i="10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E35" i="10"/>
  <c r="E33" i="10"/>
  <c r="E32" i="10"/>
  <c r="E31" i="10"/>
  <c r="E29" i="10"/>
  <c r="E28" i="10"/>
  <c r="E27" i="10"/>
  <c r="E26" i="10"/>
  <c r="E25" i="10"/>
  <c r="E24" i="10"/>
  <c r="E23" i="10"/>
  <c r="E22" i="10"/>
  <c r="L92" i="15" l="1"/>
  <c r="L29" i="15"/>
  <c r="L129" i="15"/>
  <c r="L143" i="15"/>
  <c r="L35" i="15"/>
  <c r="L94" i="15"/>
  <c r="H99" i="18"/>
  <c r="H47" i="18"/>
  <c r="I87" i="18"/>
  <c r="E10" i="17" s="1"/>
  <c r="I109" i="18"/>
  <c r="E12" i="17" s="1"/>
  <c r="I140" i="18"/>
  <c r="E16" i="17" s="1"/>
  <c r="I124" i="18"/>
  <c r="E14" i="17" s="1"/>
  <c r="I135" i="18"/>
  <c r="E15" i="17" s="1"/>
  <c r="I95" i="18"/>
  <c r="E11" i="17" s="1"/>
  <c r="I149" i="18"/>
  <c r="E17" i="17" s="1"/>
  <c r="I116" i="18"/>
  <c r="E13" i="17" s="1"/>
  <c r="L111" i="15"/>
  <c r="L119" i="15"/>
  <c r="L95" i="15"/>
  <c r="L105" i="15" s="1"/>
  <c r="L83" i="15"/>
  <c r="J41" i="15"/>
  <c r="L41" i="15" s="1"/>
  <c r="I41" i="15"/>
  <c r="L30" i="15"/>
  <c r="K144" i="15"/>
  <c r="W31" i="13"/>
  <c r="X31" i="13" s="1"/>
  <c r="W35" i="13"/>
  <c r="X35" i="13" s="1"/>
  <c r="L61" i="13"/>
  <c r="W33" i="13"/>
  <c r="X33" i="13" s="1"/>
  <c r="W36" i="13"/>
  <c r="X36" i="13" s="1"/>
  <c r="W34" i="13"/>
  <c r="X34" i="13" s="1"/>
  <c r="AF111" i="13"/>
  <c r="AG111" i="13" s="1"/>
  <c r="Z47" i="13"/>
  <c r="AA47" i="13" s="1"/>
  <c r="AB47" i="13" s="1"/>
  <c r="Z125" i="13"/>
  <c r="AA125" i="13" s="1"/>
  <c r="AB125" i="13" s="1"/>
  <c r="Z126" i="13"/>
  <c r="AA126" i="13" s="1"/>
  <c r="AB126" i="13" s="1"/>
  <c r="Z51" i="13"/>
  <c r="AA51" i="13" s="1"/>
  <c r="AB51" i="13" s="1"/>
  <c r="U15" i="13"/>
  <c r="AW15" i="13" s="1"/>
  <c r="AX15" i="13" s="1"/>
  <c r="U147" i="13"/>
  <c r="V147" i="13" s="1"/>
  <c r="W147" i="13" s="1"/>
  <c r="X147" i="13" s="1"/>
  <c r="Y147" i="13" s="1"/>
  <c r="Z147" i="13" s="1"/>
  <c r="AA147" i="13" s="1"/>
  <c r="AB147" i="13" s="1"/>
  <c r="AC147" i="13" s="1"/>
  <c r="AD147" i="13" s="1"/>
  <c r="AE147" i="13" s="1"/>
  <c r="AF147" i="13" s="1"/>
  <c r="AG147" i="13" s="1"/>
  <c r="AH147" i="13" s="1"/>
  <c r="AI147" i="13" s="1"/>
  <c r="AJ147" i="13" s="1"/>
  <c r="AK147" i="13" s="1"/>
  <c r="AL147" i="13" s="1"/>
  <c r="AM147" i="13" s="1"/>
  <c r="AN147" i="13" s="1"/>
  <c r="AO147" i="13" s="1"/>
  <c r="AP147" i="13" s="1"/>
  <c r="AQ147" i="13" s="1"/>
  <c r="AR147" i="13" s="1"/>
  <c r="AS147" i="13" s="1"/>
  <c r="AT147" i="13" s="1"/>
  <c r="AU147" i="13" s="1"/>
  <c r="T20" i="13"/>
  <c r="AM108" i="13"/>
  <c r="AN108" i="13" s="1"/>
  <c r="AO108" i="13" s="1"/>
  <c r="AP108" i="13" s="1"/>
  <c r="AQ108" i="13" s="1"/>
  <c r="AR108" i="13" s="1"/>
  <c r="AS108" i="13" s="1"/>
  <c r="AW108" i="13"/>
  <c r="AX108" i="13" s="1"/>
  <c r="AG88" i="13"/>
  <c r="AH88" i="13" s="1"/>
  <c r="AI88" i="13" s="1"/>
  <c r="AJ88" i="13" s="1"/>
  <c r="Z57" i="13"/>
  <c r="AA57" i="13" s="1"/>
  <c r="AB57" i="13" s="1"/>
  <c r="AG87" i="13"/>
  <c r="AH87" i="13" s="1"/>
  <c r="AI87" i="13" s="1"/>
  <c r="AJ87" i="13" s="1"/>
  <c r="AW87" i="13"/>
  <c r="AX87" i="13" s="1"/>
  <c r="AQ135" i="13"/>
  <c r="AR135" i="13" s="1"/>
  <c r="AS135" i="13" s="1"/>
  <c r="AG81" i="13"/>
  <c r="AH81" i="13" s="1"/>
  <c r="AI81" i="13" s="1"/>
  <c r="AJ81" i="13" s="1"/>
  <c r="U26" i="13"/>
  <c r="U149" i="13"/>
  <c r="V149" i="13" s="1"/>
  <c r="W149" i="13" s="1"/>
  <c r="X149" i="13" s="1"/>
  <c r="Y149" i="13" s="1"/>
  <c r="Z149" i="13" s="1"/>
  <c r="AA149" i="13" s="1"/>
  <c r="AB149" i="13" s="1"/>
  <c r="AC149" i="13" s="1"/>
  <c r="AD149" i="13" s="1"/>
  <c r="AE149" i="13" s="1"/>
  <c r="AF149" i="13" s="1"/>
  <c r="AG149" i="13" s="1"/>
  <c r="AH149" i="13" s="1"/>
  <c r="AI149" i="13" s="1"/>
  <c r="AJ149" i="13" s="1"/>
  <c r="AK149" i="13" s="1"/>
  <c r="AL149" i="13" s="1"/>
  <c r="AM149" i="13" s="1"/>
  <c r="AN149" i="13" s="1"/>
  <c r="AO149" i="13" s="1"/>
  <c r="AP149" i="13" s="1"/>
  <c r="AQ149" i="13" s="1"/>
  <c r="AR149" i="13" s="1"/>
  <c r="AS149" i="13" s="1"/>
  <c r="AT149" i="13" s="1"/>
  <c r="AU149" i="13" s="1"/>
  <c r="W27" i="13"/>
  <c r="AF86" i="13"/>
  <c r="AD73" i="13"/>
  <c r="AE73" i="13" s="1"/>
  <c r="AW73" i="13"/>
  <c r="AX73" i="13" s="1"/>
  <c r="AG78" i="13"/>
  <c r="AH78" i="13" s="1"/>
  <c r="AI78" i="13" s="1"/>
  <c r="AJ78" i="13" s="1"/>
  <c r="Y56" i="13"/>
  <c r="AG83" i="13"/>
  <c r="AH83" i="13" s="1"/>
  <c r="AI83" i="13" s="1"/>
  <c r="AJ83" i="13" s="1"/>
  <c r="U18" i="13"/>
  <c r="AW18" i="13"/>
  <c r="AX18" i="13" s="1"/>
  <c r="AF92" i="13"/>
  <c r="AG92" i="13" s="1"/>
  <c r="Z60" i="13"/>
  <c r="AA60" i="13" s="1"/>
  <c r="AB60" i="13" s="1"/>
  <c r="Z123" i="13"/>
  <c r="AA123" i="13" s="1"/>
  <c r="AB123" i="13" s="1"/>
  <c r="AW123" i="13"/>
  <c r="AX123" i="13" s="1"/>
  <c r="AP134" i="13"/>
  <c r="U22" i="13"/>
  <c r="V22" i="13" s="1"/>
  <c r="W22" i="13" s="1"/>
  <c r="Z59" i="13"/>
  <c r="AA59" i="13" s="1"/>
  <c r="AB59" i="13" s="1"/>
  <c r="AW32" i="13"/>
  <c r="AX32" i="13" s="1"/>
  <c r="AD72" i="13"/>
  <c r="AE72" i="13" s="1"/>
  <c r="Y50" i="13"/>
  <c r="AG75" i="13"/>
  <c r="AH75" i="13" s="1"/>
  <c r="AI75" i="13" s="1"/>
  <c r="AJ75" i="13" s="1"/>
  <c r="AF74" i="13"/>
  <c r="AC68" i="13"/>
  <c r="U17" i="13"/>
  <c r="AW17" i="13"/>
  <c r="AX17" i="13" s="1"/>
  <c r="AF112" i="13"/>
  <c r="AG112" i="13" s="1"/>
  <c r="AW112" i="13" s="1"/>
  <c r="AX112" i="13" s="1"/>
  <c r="AD71" i="13"/>
  <c r="AE71" i="13" s="1"/>
  <c r="Y62" i="13"/>
  <c r="AG79" i="13"/>
  <c r="AH79" i="13" s="1"/>
  <c r="AI79" i="13" s="1"/>
  <c r="AJ79" i="13" s="1"/>
  <c r="T14" i="13"/>
  <c r="Y37" i="13"/>
  <c r="Z37" i="13" s="1"/>
  <c r="AW37" i="13" s="1"/>
  <c r="AX37" i="13" s="1"/>
  <c r="U19" i="13"/>
  <c r="AW19" i="13" s="1"/>
  <c r="AX19" i="13" s="1"/>
  <c r="AL104" i="13"/>
  <c r="Z43" i="13"/>
  <c r="AA43" i="13" s="1"/>
  <c r="AB43" i="13" s="1"/>
  <c r="Y41" i="13"/>
  <c r="Z41" i="13" s="1"/>
  <c r="AW41" i="13"/>
  <c r="AX41" i="13" s="1"/>
  <c r="AG84" i="13"/>
  <c r="AH84" i="13" s="1"/>
  <c r="AI84" i="13" s="1"/>
  <c r="AJ84" i="13" s="1"/>
  <c r="Z52" i="13"/>
  <c r="AA52" i="13" s="1"/>
  <c r="AB52" i="13" s="1"/>
  <c r="Z124" i="13"/>
  <c r="AA124" i="13" s="1"/>
  <c r="AB124" i="13" s="1"/>
  <c r="AW124" i="13"/>
  <c r="AX124" i="13" s="1"/>
  <c r="U148" i="13"/>
  <c r="AW148" i="13" s="1"/>
  <c r="AX148" i="13" s="1"/>
  <c r="Z58" i="13"/>
  <c r="AA58" i="13" s="1"/>
  <c r="AB58" i="13" s="1"/>
  <c r="AW58" i="13" s="1"/>
  <c r="AX58" i="13" s="1"/>
  <c r="Z61" i="13"/>
  <c r="AA61" i="13" s="1"/>
  <c r="AB61" i="13" s="1"/>
  <c r="U151" i="13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AG151" i="13" s="1"/>
  <c r="AH151" i="13" s="1"/>
  <c r="AI151" i="13" s="1"/>
  <c r="AJ151" i="13" s="1"/>
  <c r="AK151" i="13" s="1"/>
  <c r="AL151" i="13" s="1"/>
  <c r="AM151" i="13" s="1"/>
  <c r="AN151" i="13" s="1"/>
  <c r="AO151" i="13" s="1"/>
  <c r="AP151" i="13" s="1"/>
  <c r="AQ151" i="13" s="1"/>
  <c r="AR151" i="13" s="1"/>
  <c r="AS151" i="13" s="1"/>
  <c r="AT151" i="13" s="1"/>
  <c r="AU151" i="13" s="1"/>
  <c r="Z46" i="13"/>
  <c r="AA46" i="13" s="1"/>
  <c r="AB46" i="13" s="1"/>
  <c r="AW46" i="13"/>
  <c r="AX46" i="13" s="1"/>
  <c r="Z55" i="13"/>
  <c r="AA55" i="13" s="1"/>
  <c r="AB55" i="13" s="1"/>
  <c r="AW55" i="13"/>
  <c r="AX55" i="13" s="1"/>
  <c r="AF80" i="13"/>
  <c r="AG77" i="13"/>
  <c r="AH77" i="13" s="1"/>
  <c r="AI77" i="13" s="1"/>
  <c r="AJ77" i="13" s="1"/>
  <c r="AQ133" i="13"/>
  <c r="AR133" i="13" s="1"/>
  <c r="AS133" i="13" s="1"/>
  <c r="Z63" i="13"/>
  <c r="AA63" i="13" s="1"/>
  <c r="AB63" i="13" s="1"/>
  <c r="Y44" i="13"/>
  <c r="W29" i="13"/>
  <c r="X29" i="13" s="1"/>
  <c r="Z54" i="13"/>
  <c r="AA54" i="13" s="1"/>
  <c r="AB54" i="13" s="1"/>
  <c r="AK118" i="13"/>
  <c r="AL118" i="13" s="1"/>
  <c r="AM118" i="13" s="1"/>
  <c r="AN118" i="13" s="1"/>
  <c r="AO118" i="13" s="1"/>
  <c r="AP118" i="13" s="1"/>
  <c r="AQ118" i="13" s="1"/>
  <c r="AW118" i="13"/>
  <c r="AX118" i="13" s="1"/>
  <c r="Y42" i="13"/>
  <c r="Z42" i="13" s="1"/>
  <c r="AK117" i="13"/>
  <c r="AL117" i="13" s="1"/>
  <c r="AM117" i="13" s="1"/>
  <c r="AN117" i="13" s="1"/>
  <c r="AO117" i="13" s="1"/>
  <c r="AP117" i="13" s="1"/>
  <c r="AQ117" i="13" s="1"/>
  <c r="AQ137" i="13"/>
  <c r="AR137" i="13" s="1"/>
  <c r="AS137" i="13" s="1"/>
  <c r="AG85" i="13"/>
  <c r="AH85" i="13" s="1"/>
  <c r="AI85" i="13" s="1"/>
  <c r="AJ85" i="13" s="1"/>
  <c r="AW85" i="13"/>
  <c r="AX85" i="13" s="1"/>
  <c r="Y40" i="13"/>
  <c r="Z40" i="13" s="1"/>
  <c r="AG76" i="13"/>
  <c r="AH76" i="13" s="1"/>
  <c r="AI76" i="13" s="1"/>
  <c r="AJ76" i="13" s="1"/>
  <c r="AW76" i="13"/>
  <c r="AX76" i="13" s="1"/>
  <c r="AM106" i="13"/>
  <c r="AN106" i="13" s="1"/>
  <c r="AO106" i="13" s="1"/>
  <c r="AP106" i="13" s="1"/>
  <c r="AQ106" i="13" s="1"/>
  <c r="AR106" i="13" s="1"/>
  <c r="AS106" i="13" s="1"/>
  <c r="T152" i="13"/>
  <c r="Z48" i="13"/>
  <c r="AA48" i="13" s="1"/>
  <c r="AB48" i="13" s="1"/>
  <c r="AK119" i="13"/>
  <c r="AL119" i="13" s="1"/>
  <c r="AM119" i="13" s="1"/>
  <c r="AN119" i="13" s="1"/>
  <c r="AO119" i="13" s="1"/>
  <c r="AP119" i="13" s="1"/>
  <c r="AQ119" i="13" s="1"/>
  <c r="AW119" i="13"/>
  <c r="AX119" i="13" s="1"/>
  <c r="Z45" i="13"/>
  <c r="AA45" i="13" s="1"/>
  <c r="AB45" i="13" s="1"/>
  <c r="Z53" i="13"/>
  <c r="AA53" i="13" s="1"/>
  <c r="AB53" i="13" s="1"/>
  <c r="U150" i="13"/>
  <c r="V150" i="13" s="1"/>
  <c r="W150" i="13" s="1"/>
  <c r="X150" i="13" s="1"/>
  <c r="Y150" i="13" s="1"/>
  <c r="Z150" i="13" s="1"/>
  <c r="AA150" i="13" s="1"/>
  <c r="AB150" i="13" s="1"/>
  <c r="AC150" i="13" s="1"/>
  <c r="AD150" i="13" s="1"/>
  <c r="AE150" i="13" s="1"/>
  <c r="AF150" i="13" s="1"/>
  <c r="AG150" i="13" s="1"/>
  <c r="AH150" i="13" s="1"/>
  <c r="AI150" i="13" s="1"/>
  <c r="AJ150" i="13" s="1"/>
  <c r="AK150" i="13" s="1"/>
  <c r="AL150" i="13" s="1"/>
  <c r="AM150" i="13" s="1"/>
  <c r="AN150" i="13" s="1"/>
  <c r="AO150" i="13" s="1"/>
  <c r="AP150" i="13" s="1"/>
  <c r="AQ150" i="13" s="1"/>
  <c r="AR150" i="13" s="1"/>
  <c r="AS150" i="13" s="1"/>
  <c r="AT150" i="13" s="1"/>
  <c r="AU150" i="13" s="1"/>
  <c r="X38" i="13"/>
  <c r="AQ136" i="13"/>
  <c r="AR136" i="13" s="1"/>
  <c r="AS136" i="13" s="1"/>
  <c r="AK103" i="13"/>
  <c r="AL103" i="13" s="1"/>
  <c r="AM103" i="13" s="1"/>
  <c r="AN103" i="13" s="1"/>
  <c r="AO103" i="13" s="1"/>
  <c r="AP103" i="13" s="1"/>
  <c r="AQ103" i="13" s="1"/>
  <c r="AW139" i="13"/>
  <c r="AX139" i="13" s="1"/>
  <c r="AM105" i="13"/>
  <c r="AN105" i="13" s="1"/>
  <c r="AO105" i="13" s="1"/>
  <c r="AP105" i="13" s="1"/>
  <c r="AQ105" i="13" s="1"/>
  <c r="AR105" i="13" s="1"/>
  <c r="AS105" i="13" s="1"/>
  <c r="AQ138" i="13"/>
  <c r="AR138" i="13" s="1"/>
  <c r="AS138" i="13" s="1"/>
  <c r="AG82" i="13"/>
  <c r="AH82" i="13" s="1"/>
  <c r="AI82" i="13" s="1"/>
  <c r="AJ82" i="13" s="1"/>
  <c r="Z127" i="13"/>
  <c r="AA127" i="13" s="1"/>
  <c r="AB127" i="13" s="1"/>
  <c r="AD69" i="13"/>
  <c r="AE69" i="13" s="1"/>
  <c r="AD70" i="13"/>
  <c r="AE70" i="13" s="1"/>
  <c r="AM107" i="13"/>
  <c r="AN107" i="13" s="1"/>
  <c r="AO107" i="13" s="1"/>
  <c r="AP107" i="13" s="1"/>
  <c r="AQ107" i="13" s="1"/>
  <c r="AR107" i="13" s="1"/>
  <c r="AS107" i="13" s="1"/>
  <c r="AL110" i="13"/>
  <c r="AM109" i="13"/>
  <c r="AN109" i="13" s="1"/>
  <c r="AO109" i="13" s="1"/>
  <c r="AP109" i="13" s="1"/>
  <c r="AQ109" i="13" s="1"/>
  <c r="AR109" i="13" s="1"/>
  <c r="AS109" i="13" s="1"/>
  <c r="L127" i="13"/>
  <c r="L129" i="13" s="1"/>
  <c r="L38" i="13"/>
  <c r="L145" i="13"/>
  <c r="Z21" i="13"/>
  <c r="I28" i="13"/>
  <c r="Q28" i="13" s="1"/>
  <c r="R28" i="13" s="1"/>
  <c r="S28" i="13" s="1"/>
  <c r="V28" i="13" s="1"/>
  <c r="A31" i="13"/>
  <c r="A32" i="13" s="1"/>
  <c r="A33" i="13" s="1"/>
  <c r="A34" i="13" s="1"/>
  <c r="A35" i="13" s="1"/>
  <c r="A36" i="13" s="1"/>
  <c r="J88" i="13"/>
  <c r="L88" i="13" s="1"/>
  <c r="J37" i="13"/>
  <c r="L37" i="13" s="1"/>
  <c r="J28" i="13"/>
  <c r="L28" i="13" s="1"/>
  <c r="L121" i="13"/>
  <c r="J70" i="13"/>
  <c r="L27" i="13"/>
  <c r="R98" i="13"/>
  <c r="L70" i="13"/>
  <c r="L156" i="13"/>
  <c r="L74" i="13"/>
  <c r="S16" i="13"/>
  <c r="T16" i="13" s="1"/>
  <c r="R23" i="13"/>
  <c r="S116" i="13"/>
  <c r="R121" i="13"/>
  <c r="L44" i="13"/>
  <c r="S102" i="13"/>
  <c r="AH102" i="13" s="1"/>
  <c r="R113" i="13"/>
  <c r="L134" i="13"/>
  <c r="L140" i="13" s="1"/>
  <c r="L32" i="13"/>
  <c r="R49" i="13"/>
  <c r="S49" i="13" s="1"/>
  <c r="Y49" i="13" s="1"/>
  <c r="R129" i="13"/>
  <c r="R140" i="13"/>
  <c r="L96" i="13"/>
  <c r="L98" i="13" s="1"/>
  <c r="I30" i="13"/>
  <c r="Q30" i="13" s="1"/>
  <c r="R30" i="13" s="1"/>
  <c r="J30" i="13"/>
  <c r="L30" i="13" s="1"/>
  <c r="G39" i="13"/>
  <c r="L102" i="13"/>
  <c r="L113" i="13" s="1"/>
  <c r="L45" i="13"/>
  <c r="L53" i="13"/>
  <c r="J79" i="13"/>
  <c r="L79" i="13" s="1"/>
  <c r="L42" i="13"/>
  <c r="L35" i="13"/>
  <c r="G39" i="10"/>
  <c r="I39" i="10" s="1"/>
  <c r="Q39" i="10" s="1"/>
  <c r="R39" i="10" s="1"/>
  <c r="I36" i="10"/>
  <c r="Q36" i="10" s="1"/>
  <c r="R36" i="10" s="1"/>
  <c r="L19" i="10"/>
  <c r="L151" i="10"/>
  <c r="J23" i="10"/>
  <c r="K23" i="10"/>
  <c r="J29" i="10"/>
  <c r="K29" i="10"/>
  <c r="J36" i="10"/>
  <c r="K36" i="10"/>
  <c r="J44" i="10"/>
  <c r="K44" i="10"/>
  <c r="J67" i="10"/>
  <c r="K67" i="10"/>
  <c r="K73" i="10"/>
  <c r="J73" i="10"/>
  <c r="J37" i="10"/>
  <c r="K37" i="10"/>
  <c r="J51" i="10"/>
  <c r="K51" i="10"/>
  <c r="J57" i="10"/>
  <c r="K57" i="10"/>
  <c r="J80" i="10"/>
  <c r="K80" i="10"/>
  <c r="J24" i="10"/>
  <c r="K24" i="10"/>
  <c r="K68" i="10"/>
  <c r="J68" i="10"/>
  <c r="J74" i="10"/>
  <c r="K74" i="10"/>
  <c r="J31" i="10"/>
  <c r="K31" i="10"/>
  <c r="K38" i="10"/>
  <c r="J38" i="10"/>
  <c r="J46" i="10"/>
  <c r="K46" i="10"/>
  <c r="K52" i="10"/>
  <c r="J52" i="10"/>
  <c r="K58" i="10"/>
  <c r="J58" i="10"/>
  <c r="J75" i="10"/>
  <c r="K75" i="10"/>
  <c r="J81" i="10"/>
  <c r="K81" i="10"/>
  <c r="J25" i="10"/>
  <c r="K25" i="10"/>
  <c r="R31" i="10"/>
  <c r="K39" i="10"/>
  <c r="J69" i="10"/>
  <c r="K69" i="10"/>
  <c r="L116" i="10"/>
  <c r="J32" i="10"/>
  <c r="K32" i="10"/>
  <c r="J40" i="10"/>
  <c r="K40" i="10"/>
  <c r="J47" i="10"/>
  <c r="K47" i="10"/>
  <c r="J53" i="10"/>
  <c r="K53" i="10"/>
  <c r="J63" i="10"/>
  <c r="K63" i="10"/>
  <c r="J76" i="10"/>
  <c r="K76" i="10"/>
  <c r="K82" i="10"/>
  <c r="J82" i="10"/>
  <c r="J26" i="10"/>
  <c r="K26" i="10"/>
  <c r="J70" i="10"/>
  <c r="K70" i="10"/>
  <c r="J33" i="10"/>
  <c r="K33" i="10"/>
  <c r="K41" i="10"/>
  <c r="J41" i="10"/>
  <c r="J48" i="10"/>
  <c r="K48" i="10"/>
  <c r="J54" i="10"/>
  <c r="K54" i="10"/>
  <c r="J64" i="10"/>
  <c r="K64" i="10"/>
  <c r="J77" i="10"/>
  <c r="K77" i="10"/>
  <c r="L77" i="10" s="1"/>
  <c r="J83" i="10"/>
  <c r="K83" i="10"/>
  <c r="J27" i="10"/>
  <c r="K27" i="10"/>
  <c r="J42" i="10"/>
  <c r="K42" i="10"/>
  <c r="J71" i="10"/>
  <c r="K71" i="10"/>
  <c r="K49" i="10"/>
  <c r="J49" i="10"/>
  <c r="K55" i="10"/>
  <c r="J55" i="10"/>
  <c r="K65" i="10"/>
  <c r="J65" i="10"/>
  <c r="J78" i="10"/>
  <c r="K78" i="10"/>
  <c r="R128" i="10"/>
  <c r="K128" i="10"/>
  <c r="J128" i="10"/>
  <c r="J22" i="10"/>
  <c r="K22" i="10"/>
  <c r="J28" i="10"/>
  <c r="K28" i="10"/>
  <c r="J35" i="10"/>
  <c r="K35" i="10"/>
  <c r="J43" i="10"/>
  <c r="K43" i="10"/>
  <c r="K66" i="10"/>
  <c r="J66" i="10"/>
  <c r="J72" i="10"/>
  <c r="K72" i="10"/>
  <c r="J91" i="10"/>
  <c r="K91" i="10"/>
  <c r="J50" i="10"/>
  <c r="K50" i="10"/>
  <c r="J56" i="10"/>
  <c r="K56" i="10"/>
  <c r="J79" i="10"/>
  <c r="K79" i="10"/>
  <c r="R121" i="10"/>
  <c r="R124" i="10" s="1"/>
  <c r="J121" i="10"/>
  <c r="K121" i="10"/>
  <c r="R67" i="10"/>
  <c r="R73" i="10"/>
  <c r="R25" i="10"/>
  <c r="R80" i="10"/>
  <c r="R75" i="10"/>
  <c r="R51" i="10"/>
  <c r="R57" i="10"/>
  <c r="R32" i="10"/>
  <c r="R40" i="10"/>
  <c r="R52" i="10"/>
  <c r="R58" i="10"/>
  <c r="R33" i="10"/>
  <c r="R69" i="10"/>
  <c r="R27" i="10"/>
  <c r="R47" i="10"/>
  <c r="R53" i="10"/>
  <c r="R63" i="10"/>
  <c r="R76" i="10"/>
  <c r="R82" i="10"/>
  <c r="R42" i="10"/>
  <c r="R70" i="10"/>
  <c r="R22" i="10"/>
  <c r="R28" i="10"/>
  <c r="R48" i="10"/>
  <c r="R54" i="10"/>
  <c r="R64" i="10"/>
  <c r="R77" i="10"/>
  <c r="R43" i="10"/>
  <c r="R71" i="10"/>
  <c r="R23" i="10"/>
  <c r="R29" i="10"/>
  <c r="R49" i="10"/>
  <c r="R55" i="10"/>
  <c r="R78" i="10"/>
  <c r="R44" i="10"/>
  <c r="R66" i="10"/>
  <c r="R72" i="10"/>
  <c r="R24" i="10"/>
  <c r="R37" i="10"/>
  <c r="R50" i="10"/>
  <c r="R56" i="10"/>
  <c r="R79" i="10"/>
  <c r="R68" i="10"/>
  <c r="R46" i="10"/>
  <c r="R81" i="10"/>
  <c r="R26" i="10"/>
  <c r="Q65" i="10"/>
  <c r="R65" i="10" s="1"/>
  <c r="Q35" i="10"/>
  <c r="R35" i="10" s="1"/>
  <c r="Q83" i="10"/>
  <c r="R83" i="10" s="1"/>
  <c r="Q74" i="10"/>
  <c r="R74" i="10" s="1"/>
  <c r="E30" i="10"/>
  <c r="E34" i="10"/>
  <c r="K34" i="10" s="1"/>
  <c r="L34" i="10" s="1"/>
  <c r="T154" i="13" l="1"/>
  <c r="AW109" i="13"/>
  <c r="AX109" i="13" s="1"/>
  <c r="AW78" i="13"/>
  <c r="AX78" i="13" s="1"/>
  <c r="AW57" i="13"/>
  <c r="AX57" i="13" s="1"/>
  <c r="V26" i="13"/>
  <c r="X22" i="13"/>
  <c r="AW54" i="13"/>
  <c r="AX54" i="13" s="1"/>
  <c r="AW61" i="13"/>
  <c r="AX61" i="13" s="1"/>
  <c r="AW83" i="13"/>
  <c r="AX83" i="13" s="1"/>
  <c r="AW93" i="13"/>
  <c r="AX93" i="13" s="1"/>
  <c r="L59" i="15"/>
  <c r="L144" i="15" s="1"/>
  <c r="J144" i="15"/>
  <c r="AW94" i="13"/>
  <c r="AX94" i="13" s="1"/>
  <c r="AW95" i="13"/>
  <c r="AX95" i="13" s="1"/>
  <c r="AW81" i="13"/>
  <c r="AX81" i="13" s="1"/>
  <c r="AW52" i="13"/>
  <c r="AX52" i="13" s="1"/>
  <c r="AW71" i="13"/>
  <c r="AX71" i="13" s="1"/>
  <c r="AW79" i="13"/>
  <c r="AX79" i="13" s="1"/>
  <c r="AW149" i="13"/>
  <c r="AX149" i="13" s="1"/>
  <c r="AW125" i="13"/>
  <c r="AX125" i="13" s="1"/>
  <c r="AW106" i="13"/>
  <c r="AX106" i="13" s="1"/>
  <c r="AW147" i="13"/>
  <c r="AX147" i="13" s="1"/>
  <c r="AW33" i="13"/>
  <c r="AX33" i="13" s="1"/>
  <c r="AW127" i="13"/>
  <c r="AX127" i="13" s="1"/>
  <c r="AW150" i="13"/>
  <c r="AX150" i="13" s="1"/>
  <c r="AW40" i="13"/>
  <c r="AX40" i="13" s="1"/>
  <c r="AW82" i="13"/>
  <c r="AX82" i="13" s="1"/>
  <c r="AW53" i="13"/>
  <c r="AX53" i="13" s="1"/>
  <c r="AW75" i="13"/>
  <c r="AX75" i="13" s="1"/>
  <c r="AW60" i="13"/>
  <c r="AX60" i="13" s="1"/>
  <c r="AW126" i="13"/>
  <c r="AX126" i="13" s="1"/>
  <c r="AW36" i="13"/>
  <c r="AX36" i="13" s="1"/>
  <c r="AW45" i="13"/>
  <c r="AX45" i="13" s="1"/>
  <c r="AW29" i="13"/>
  <c r="AX29" i="13" s="1"/>
  <c r="AW72" i="13"/>
  <c r="AX72" i="13" s="1"/>
  <c r="X27" i="13"/>
  <c r="AW27" i="13" s="1"/>
  <c r="AX27" i="13" s="1"/>
  <c r="AW51" i="13"/>
  <c r="AX51" i="13" s="1"/>
  <c r="AW137" i="13"/>
  <c r="AX137" i="13" s="1"/>
  <c r="AW43" i="13"/>
  <c r="AX43" i="13" s="1"/>
  <c r="AW88" i="13"/>
  <c r="AX88" i="13" s="1"/>
  <c r="AW34" i="13"/>
  <c r="AX34" i="13" s="1"/>
  <c r="AW103" i="13"/>
  <c r="AX103" i="13" s="1"/>
  <c r="AW48" i="13"/>
  <c r="AX48" i="13" s="1"/>
  <c r="AW133" i="13"/>
  <c r="AX133" i="13" s="1"/>
  <c r="AW35" i="13"/>
  <c r="AX35" i="13" s="1"/>
  <c r="AW42" i="13"/>
  <c r="AX42" i="13" s="1"/>
  <c r="AW77" i="13"/>
  <c r="AX77" i="13" s="1"/>
  <c r="AW135" i="13"/>
  <c r="AX135" i="13" s="1"/>
  <c r="AW31" i="13"/>
  <c r="AX31" i="13" s="1"/>
  <c r="AQ134" i="13"/>
  <c r="AR134" i="13" s="1"/>
  <c r="AS134" i="13" s="1"/>
  <c r="W28" i="13"/>
  <c r="X28" i="13" s="1"/>
  <c r="AM110" i="13"/>
  <c r="AN110" i="13" s="1"/>
  <c r="AO110" i="13" s="1"/>
  <c r="AP110" i="13" s="1"/>
  <c r="AQ110" i="13" s="1"/>
  <c r="AR110" i="13" s="1"/>
  <c r="AS110" i="13" s="1"/>
  <c r="AW70" i="13"/>
  <c r="AX70" i="13" s="1"/>
  <c r="Z62" i="13"/>
  <c r="AA62" i="13" s="1"/>
  <c r="AB62" i="13" s="1"/>
  <c r="AW69" i="13"/>
  <c r="AX69" i="13" s="1"/>
  <c r="AG80" i="13"/>
  <c r="AH80" i="13" s="1"/>
  <c r="AI80" i="13" s="1"/>
  <c r="AJ80" i="13" s="1"/>
  <c r="AM104" i="13"/>
  <c r="AN104" i="13" s="1"/>
  <c r="AO104" i="13" s="1"/>
  <c r="AP104" i="13" s="1"/>
  <c r="AQ104" i="13" s="1"/>
  <c r="AR104" i="13" s="1"/>
  <c r="AS104" i="13" s="1"/>
  <c r="Z50" i="13"/>
  <c r="AA50" i="13" s="1"/>
  <c r="AB50" i="13" s="1"/>
  <c r="AW50" i="13"/>
  <c r="AX50" i="13" s="1"/>
  <c r="Z56" i="13"/>
  <c r="AA56" i="13" s="1"/>
  <c r="AB56" i="13" s="1"/>
  <c r="AW26" i="13"/>
  <c r="AX26" i="13" s="1"/>
  <c r="AW111" i="13"/>
  <c r="AX111" i="13" s="1"/>
  <c r="AJ116" i="13"/>
  <c r="AW136" i="13"/>
  <c r="AX136" i="13" s="1"/>
  <c r="Z44" i="13"/>
  <c r="AA44" i="13" s="1"/>
  <c r="AB44" i="13" s="1"/>
  <c r="AW117" i="13"/>
  <c r="AX117" i="13" s="1"/>
  <c r="AW63" i="13"/>
  <c r="AX63" i="13" s="1"/>
  <c r="AW151" i="13"/>
  <c r="AX151" i="13" s="1"/>
  <c r="AW84" i="13"/>
  <c r="AX84" i="13" s="1"/>
  <c r="AW59" i="13"/>
  <c r="AX59" i="13" s="1"/>
  <c r="AW96" i="13"/>
  <c r="AX96" i="13" s="1"/>
  <c r="AW47" i="13"/>
  <c r="AX47" i="13" s="1"/>
  <c r="AI102" i="13"/>
  <c r="AJ102" i="13" s="1"/>
  <c r="AK102" i="13" s="1"/>
  <c r="AL102" i="13" s="1"/>
  <c r="AM102" i="13" s="1"/>
  <c r="AN102" i="13" s="1"/>
  <c r="AO102" i="13" s="1"/>
  <c r="U16" i="13"/>
  <c r="AW16" i="13" s="1"/>
  <c r="AX16" i="13" s="1"/>
  <c r="AW138" i="13"/>
  <c r="AX138" i="13" s="1"/>
  <c r="Y38" i="13"/>
  <c r="Z38" i="13" s="1"/>
  <c r="U152" i="13"/>
  <c r="V152" i="13" s="1"/>
  <c r="W152" i="13" s="1"/>
  <c r="X152" i="13" s="1"/>
  <c r="Y152" i="13" s="1"/>
  <c r="Z152" i="13" s="1"/>
  <c r="AA152" i="13" s="1"/>
  <c r="AB152" i="13" s="1"/>
  <c r="AC152" i="13" s="1"/>
  <c r="AD152" i="13" s="1"/>
  <c r="AE152" i="13" s="1"/>
  <c r="AF152" i="13" s="1"/>
  <c r="AG152" i="13" s="1"/>
  <c r="AH152" i="13" s="1"/>
  <c r="AI152" i="13" s="1"/>
  <c r="AJ152" i="13" s="1"/>
  <c r="AK152" i="13" s="1"/>
  <c r="AL152" i="13" s="1"/>
  <c r="AM152" i="13" s="1"/>
  <c r="AN152" i="13" s="1"/>
  <c r="AO152" i="13" s="1"/>
  <c r="AP152" i="13" s="1"/>
  <c r="AQ152" i="13" s="1"/>
  <c r="AR152" i="13" s="1"/>
  <c r="AS152" i="13" s="1"/>
  <c r="AT152" i="13" s="1"/>
  <c r="AU152" i="13" s="1"/>
  <c r="U14" i="13"/>
  <c r="AW14" i="13" s="1"/>
  <c r="AD68" i="13"/>
  <c r="AE68" i="13" s="1"/>
  <c r="AG86" i="13"/>
  <c r="AH86" i="13" s="1"/>
  <c r="AI86" i="13" s="1"/>
  <c r="AJ86" i="13" s="1"/>
  <c r="U20" i="13"/>
  <c r="AW20" i="13" s="1"/>
  <c r="AX20" i="13" s="1"/>
  <c r="Z49" i="13"/>
  <c r="AA49" i="13" s="1"/>
  <c r="AB49" i="13" s="1"/>
  <c r="AW107" i="13"/>
  <c r="AX107" i="13" s="1"/>
  <c r="AW105" i="13"/>
  <c r="AX105" i="13" s="1"/>
  <c r="AG74" i="13"/>
  <c r="AH74" i="13" s="1"/>
  <c r="AI74" i="13" s="1"/>
  <c r="AJ74" i="13" s="1"/>
  <c r="T9" i="13"/>
  <c r="A37" i="13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A21" i="13"/>
  <c r="I39" i="13"/>
  <c r="Q39" i="13" s="1"/>
  <c r="R39" i="13" s="1"/>
  <c r="J39" i="13"/>
  <c r="L39" i="13" s="1"/>
  <c r="L64" i="13" s="1"/>
  <c r="S30" i="13"/>
  <c r="V30" i="13" s="1"/>
  <c r="L91" i="10"/>
  <c r="L93" i="10" s="1"/>
  <c r="L22" i="10"/>
  <c r="L121" i="10"/>
  <c r="L124" i="10" s="1"/>
  <c r="L42" i="10"/>
  <c r="L48" i="10"/>
  <c r="L76" i="10"/>
  <c r="L70" i="10"/>
  <c r="L47" i="10"/>
  <c r="L25" i="10"/>
  <c r="L57" i="10"/>
  <c r="L36" i="10"/>
  <c r="L64" i="10"/>
  <c r="L26" i="10"/>
  <c r="L40" i="10"/>
  <c r="L81" i="10"/>
  <c r="L31" i="10"/>
  <c r="L51" i="10"/>
  <c r="L29" i="10"/>
  <c r="L71" i="10"/>
  <c r="L54" i="10"/>
  <c r="L32" i="10"/>
  <c r="L75" i="10"/>
  <c r="L74" i="10"/>
  <c r="L37" i="10"/>
  <c r="L23" i="10"/>
  <c r="J39" i="10"/>
  <c r="L39" i="10" s="1"/>
  <c r="L56" i="10"/>
  <c r="L35" i="10"/>
  <c r="L79" i="10"/>
  <c r="L43" i="10"/>
  <c r="L50" i="10"/>
  <c r="L28" i="10"/>
  <c r="L65" i="10"/>
  <c r="L66" i="10"/>
  <c r="L78" i="10"/>
  <c r="L27" i="10"/>
  <c r="L63" i="10"/>
  <c r="L24" i="10"/>
  <c r="L67" i="10"/>
  <c r="L72" i="10"/>
  <c r="R30" i="10"/>
  <c r="K30" i="10"/>
  <c r="J30" i="10"/>
  <c r="L128" i="10"/>
  <c r="L69" i="10"/>
  <c r="L58" i="10"/>
  <c r="L68" i="10"/>
  <c r="L73" i="10"/>
  <c r="L55" i="10"/>
  <c r="L38" i="10"/>
  <c r="L49" i="10"/>
  <c r="L82" i="10"/>
  <c r="L41" i="10"/>
  <c r="L52" i="10"/>
  <c r="L83" i="10"/>
  <c r="L33" i="10"/>
  <c r="L53" i="10"/>
  <c r="L46" i="10"/>
  <c r="L80" i="10"/>
  <c r="L44" i="10"/>
  <c r="R34" i="10"/>
  <c r="Q38" i="10"/>
  <c r="R38" i="10" s="1"/>
  <c r="Y22" i="13" l="1"/>
  <c r="U154" i="13"/>
  <c r="U156" i="13" s="1"/>
  <c r="V154" i="13"/>
  <c r="V156" i="13" s="1"/>
  <c r="T155" i="13"/>
  <c r="U155" i="13" s="1"/>
  <c r="V155" i="13" s="1"/>
  <c r="T156" i="13"/>
  <c r="L145" i="15"/>
  <c r="L147" i="15"/>
  <c r="AW134" i="13"/>
  <c r="AX134" i="13" s="1"/>
  <c r="AW110" i="13"/>
  <c r="AX110" i="13" s="1"/>
  <c r="AW102" i="13"/>
  <c r="AX102" i="13" s="1"/>
  <c r="AW28" i="13"/>
  <c r="AX28" i="13" s="1"/>
  <c r="AW104" i="13"/>
  <c r="AX104" i="13" s="1"/>
  <c r="AW80" i="13"/>
  <c r="AX80" i="13" s="1"/>
  <c r="AW49" i="13"/>
  <c r="AX49" i="13" s="1"/>
  <c r="AW74" i="13"/>
  <c r="AX74" i="13" s="1"/>
  <c r="U9" i="13"/>
  <c r="AW56" i="13"/>
  <c r="AX56" i="13" s="1"/>
  <c r="AW68" i="13"/>
  <c r="AX68" i="13" s="1"/>
  <c r="AK116" i="13"/>
  <c r="AL116" i="13" s="1"/>
  <c r="AM116" i="13" s="1"/>
  <c r="AN116" i="13" s="1"/>
  <c r="AO116" i="13" s="1"/>
  <c r="AP116" i="13" s="1"/>
  <c r="AQ116" i="13" s="1"/>
  <c r="AW62" i="13"/>
  <c r="AX62" i="13" s="1"/>
  <c r="W30" i="13"/>
  <c r="W154" i="13" s="1"/>
  <c r="W156" i="13" s="1"/>
  <c r="AX14" i="13"/>
  <c r="AW152" i="13"/>
  <c r="AX152" i="13" s="1"/>
  <c r="AW38" i="13"/>
  <c r="AX38" i="13" s="1"/>
  <c r="AW86" i="13"/>
  <c r="AX86" i="13" s="1"/>
  <c r="AW44" i="13"/>
  <c r="AX44" i="13" s="1"/>
  <c r="A50" i="13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V9" i="13"/>
  <c r="AB21" i="13"/>
  <c r="L89" i="13"/>
  <c r="S39" i="13"/>
  <c r="X39" i="13" s="1"/>
  <c r="R64" i="13"/>
  <c r="R89" i="13" s="1"/>
  <c r="L30" i="10"/>
  <c r="L152" i="10" s="1"/>
  <c r="Q41" i="10"/>
  <c r="R41" i="10" s="1"/>
  <c r="W155" i="13" l="1"/>
  <c r="Z22" i="13"/>
  <c r="L149" i="15"/>
  <c r="W9" i="13"/>
  <c r="T8" i="13" s="1"/>
  <c r="T6" i="13" s="1"/>
  <c r="T7" i="13" s="1"/>
  <c r="X30" i="13"/>
  <c r="AW116" i="13"/>
  <c r="AX116" i="13" s="1"/>
  <c r="Y39" i="13"/>
  <c r="Y154" i="13" s="1"/>
  <c r="Y156" i="13" s="1"/>
  <c r="AC21" i="13"/>
  <c r="R59" i="10"/>
  <c r="R84" i="10" s="1"/>
  <c r="A119" i="10"/>
  <c r="A120" i="10" s="1"/>
  <c r="A121" i="10" s="1"/>
  <c r="A122" i="10" s="1"/>
  <c r="AW30" i="13" l="1"/>
  <c r="AX30" i="13" s="1"/>
  <c r="X154" i="13"/>
  <c r="X156" i="13" s="1"/>
  <c r="AA22" i="13"/>
  <c r="X9" i="13"/>
  <c r="X155" i="13"/>
  <c r="Y155" i="13" s="1"/>
  <c r="AD21" i="13"/>
  <c r="Z39" i="13"/>
  <c r="Z9" i="13" s="1"/>
  <c r="Y9" i="13"/>
  <c r="T4" i="13"/>
  <c r="U3" i="12"/>
  <c r="V3" i="12" s="1"/>
  <c r="U2" i="12"/>
  <c r="V2" i="12" s="1"/>
  <c r="K3" i="12"/>
  <c r="L3" i="12" s="1"/>
  <c r="H3" i="12"/>
  <c r="Q3" i="12" s="1"/>
  <c r="H2" i="12"/>
  <c r="Q2" i="12" s="1"/>
  <c r="K2" i="12"/>
  <c r="L2" i="12" s="1"/>
  <c r="E134" i="10"/>
  <c r="Z154" i="13" l="1"/>
  <c r="Z156" i="13" s="1"/>
  <c r="AB22" i="13"/>
  <c r="AA9" i="13"/>
  <c r="AA154" i="13"/>
  <c r="AA156" i="13" s="1"/>
  <c r="X8" i="13"/>
  <c r="AH92" i="13"/>
  <c r="AW39" i="13"/>
  <c r="AX39" i="13" s="1"/>
  <c r="T3" i="13"/>
  <c r="AW3" i="13" s="1"/>
  <c r="AE21" i="13"/>
  <c r="R134" i="10"/>
  <c r="J134" i="10"/>
  <c r="K134" i="10"/>
  <c r="R3" i="12"/>
  <c r="P3" i="12"/>
  <c r="T3" i="12" s="1"/>
  <c r="P2" i="12"/>
  <c r="T2" i="12" s="1"/>
  <c r="R2" i="12"/>
  <c r="O2" i="12"/>
  <c r="S2" i="12" s="1"/>
  <c r="O3" i="12"/>
  <c r="S3" i="12" s="1"/>
  <c r="AC22" i="13" l="1"/>
  <c r="AB9" i="13"/>
  <c r="AB154" i="13"/>
  <c r="AB156" i="13" s="1"/>
  <c r="Z155" i="13"/>
  <c r="AA155" i="13" s="1"/>
  <c r="AB155" i="13" s="1"/>
  <c r="AI92" i="13"/>
  <c r="AF21" i="13"/>
  <c r="X6" i="13"/>
  <c r="X7" i="13" s="1"/>
  <c r="L134" i="10"/>
  <c r="W3" i="12"/>
  <c r="W2" i="12"/>
  <c r="E133" i="10"/>
  <c r="E129" i="10"/>
  <c r="E131" i="10"/>
  <c r="E103" i="10"/>
  <c r="E106" i="10"/>
  <c r="E104" i="10"/>
  <c r="E97" i="10"/>
  <c r="AD22" i="13" l="1"/>
  <c r="AC9" i="13"/>
  <c r="AC154" i="13"/>
  <c r="AC156" i="13" s="1"/>
  <c r="AJ92" i="13"/>
  <c r="X4" i="13"/>
  <c r="AG21" i="13"/>
  <c r="R104" i="10"/>
  <c r="K104" i="10"/>
  <c r="J104" i="10"/>
  <c r="R106" i="10"/>
  <c r="J106" i="10"/>
  <c r="K106" i="10"/>
  <c r="R103" i="10"/>
  <c r="J103" i="10"/>
  <c r="K103" i="10"/>
  <c r="R131" i="10"/>
  <c r="K131" i="10"/>
  <c r="J131" i="10"/>
  <c r="R129" i="10"/>
  <c r="J129" i="10"/>
  <c r="K129" i="10"/>
  <c r="R133" i="10"/>
  <c r="J133" i="10"/>
  <c r="K133" i="10"/>
  <c r="L133" i="10" s="1"/>
  <c r="J97" i="10"/>
  <c r="K97" i="10"/>
  <c r="E98" i="10"/>
  <c r="R97" i="10"/>
  <c r="P11" i="10"/>
  <c r="Q11" i="10" s="1"/>
  <c r="R11" i="10" s="1"/>
  <c r="P15" i="10"/>
  <c r="Q15" i="10" s="1"/>
  <c r="R15" i="10" s="1"/>
  <c r="AE22" i="13" l="1"/>
  <c r="AD9" i="13"/>
  <c r="AD154" i="13"/>
  <c r="AD156" i="13" s="1"/>
  <c r="AC155" i="13"/>
  <c r="AD155" i="13" s="1"/>
  <c r="AK92" i="13"/>
  <c r="AH21" i="13"/>
  <c r="X3" i="13"/>
  <c r="L97" i="10"/>
  <c r="L106" i="10"/>
  <c r="L129" i="10"/>
  <c r="L104" i="10"/>
  <c r="R135" i="10"/>
  <c r="L131" i="10"/>
  <c r="R98" i="10"/>
  <c r="R108" i="10" s="1"/>
  <c r="J98" i="10"/>
  <c r="K98" i="10"/>
  <c r="L103" i="10"/>
  <c r="AF22" i="13" l="1"/>
  <c r="AE154" i="13"/>
  <c r="AE156" i="13" s="1"/>
  <c r="AE9" i="13"/>
  <c r="AB8" i="13" s="1"/>
  <c r="AB6" i="13" s="1"/>
  <c r="AL92" i="13"/>
  <c r="AI21" i="13"/>
  <c r="L135" i="10"/>
  <c r="L98" i="10"/>
  <c r="L108" i="10" s="1"/>
  <c r="AG22" i="13" l="1"/>
  <c r="AF154" i="13"/>
  <c r="AF156" i="13" s="1"/>
  <c r="AF9" i="13"/>
  <c r="AB4" i="13"/>
  <c r="AB3" i="13" s="1"/>
  <c r="AB7" i="13"/>
  <c r="AE155" i="13"/>
  <c r="AF155" i="13" s="1"/>
  <c r="AM92" i="13"/>
  <c r="AJ21" i="13"/>
  <c r="Q18" i="10"/>
  <c r="R18" i="10" s="1"/>
  <c r="Q14" i="10"/>
  <c r="R14" i="10" s="1"/>
  <c r="P13" i="10"/>
  <c r="Q13" i="10" s="1"/>
  <c r="R13" i="10" s="1"/>
  <c r="P12" i="10"/>
  <c r="Q12" i="10" s="1"/>
  <c r="R12" i="10" s="1"/>
  <c r="P10" i="10"/>
  <c r="Q10" i="10" s="1"/>
  <c r="R10" i="10" s="1"/>
  <c r="AH22" i="13" l="1"/>
  <c r="AG154" i="13"/>
  <c r="AG156" i="13" s="1"/>
  <c r="AG9" i="13"/>
  <c r="AW92" i="13"/>
  <c r="AX92" i="13" s="1"/>
  <c r="AK21" i="13"/>
  <c r="R19" i="10"/>
  <c r="AI22" i="13" l="1"/>
  <c r="AH154" i="13"/>
  <c r="AH156" i="13" s="1"/>
  <c r="AH9" i="13"/>
  <c r="AG155" i="13"/>
  <c r="AL21" i="13"/>
  <c r="A129" i="10"/>
  <c r="A130" i="10" s="1"/>
  <c r="A131" i="10" s="1"/>
  <c r="B10" i="11"/>
  <c r="B8" i="11"/>
  <c r="A112" i="10"/>
  <c r="A113" i="10" s="1"/>
  <c r="A114" i="10" s="1"/>
  <c r="A98" i="10"/>
  <c r="AH155" i="13" l="1"/>
  <c r="AJ22" i="13"/>
  <c r="AI154" i="13"/>
  <c r="AI156" i="13" s="1"/>
  <c r="AI9" i="13"/>
  <c r="AF8" i="13" s="1"/>
  <c r="AF6" i="13" s="1"/>
  <c r="AM21" i="13"/>
  <c r="E18" i="11"/>
  <c r="E19" i="11" s="1"/>
  <c r="AF7" i="13" l="1"/>
  <c r="AF4" i="13"/>
  <c r="AF3" i="13" s="1"/>
  <c r="AK22" i="13"/>
  <c r="AJ154" i="13"/>
  <c r="AJ156" i="13" s="1"/>
  <c r="AJ9" i="13"/>
  <c r="AI155" i="13"/>
  <c r="AN21" i="13"/>
  <c r="E21" i="11"/>
  <c r="E22" i="11" s="1"/>
  <c r="E1" i="11" s="1"/>
  <c r="AJ155" i="13" l="1"/>
  <c r="AL22" i="13"/>
  <c r="AK154" i="13"/>
  <c r="AK156" i="13" s="1"/>
  <c r="AK9" i="13"/>
  <c r="AO21" i="13"/>
  <c r="AM22" i="13" l="1"/>
  <c r="AL154" i="13"/>
  <c r="AL156" i="13" s="1"/>
  <c r="AL9" i="13"/>
  <c r="AK155" i="13"/>
  <c r="AL155" i="13" s="1"/>
  <c r="AP21" i="13"/>
  <c r="AN22" i="13" l="1"/>
  <c r="AM154" i="13"/>
  <c r="AM156" i="13" s="1"/>
  <c r="AM9" i="13"/>
  <c r="AJ8" i="13" s="1"/>
  <c r="AJ6" i="13" s="1"/>
  <c r="AQ21" i="13"/>
  <c r="AM155" i="13" l="1"/>
  <c r="AJ7" i="13"/>
  <c r="AJ4" i="13"/>
  <c r="AO22" i="13"/>
  <c r="AN154" i="13"/>
  <c r="AN156" i="13" s="1"/>
  <c r="AN9" i="13"/>
  <c r="AR21" i="13"/>
  <c r="AJ3" i="13" l="1"/>
  <c r="AW4" i="13"/>
  <c r="AN155" i="13"/>
  <c r="AP22" i="13"/>
  <c r="AO154" i="13"/>
  <c r="AO156" i="13" s="1"/>
  <c r="AO9" i="13"/>
  <c r="AS21" i="13"/>
  <c r="AO155" i="13" l="1"/>
  <c r="AQ22" i="13"/>
  <c r="AP154" i="13"/>
  <c r="AP156" i="13" s="1"/>
  <c r="AP9" i="13"/>
  <c r="AT21" i="13"/>
  <c r="AR22" i="13" l="1"/>
  <c r="AQ154" i="13"/>
  <c r="AQ156" i="13" s="1"/>
  <c r="AQ9" i="13"/>
  <c r="AN8" i="13" s="1"/>
  <c r="AN6" i="13" s="1"/>
  <c r="AN7" i="13" s="1"/>
  <c r="AP155" i="13"/>
  <c r="AQ155" i="13" s="1"/>
  <c r="AU21" i="13"/>
  <c r="AS22" i="13" l="1"/>
  <c r="AR154" i="13"/>
  <c r="AR156" i="13" s="1"/>
  <c r="AR9" i="13"/>
  <c r="AW21" i="13"/>
  <c r="AT22" i="13" l="1"/>
  <c r="AS154" i="13"/>
  <c r="AS156" i="13" s="1"/>
  <c r="AS9" i="13"/>
  <c r="AR155" i="13"/>
  <c r="AS155" i="13" s="1"/>
  <c r="AX21" i="13"/>
  <c r="AU22" i="13" l="1"/>
  <c r="AT9" i="13"/>
  <c r="AT154" i="13"/>
  <c r="AT156" i="13" s="1"/>
  <c r="AW22" i="13" l="1"/>
  <c r="AU154" i="13"/>
  <c r="AU156" i="13" s="1"/>
  <c r="AU9" i="13"/>
  <c r="AR8" i="13" s="1"/>
  <c r="AT155" i="13"/>
  <c r="AU155" i="13" s="1"/>
  <c r="AW8" i="13" l="1"/>
  <c r="AR6" i="13"/>
  <c r="AX22" i="13"/>
  <c r="AW154" i="13"/>
  <c r="I62" i="18"/>
  <c r="E9" i="17" s="1"/>
  <c r="I21" i="18"/>
  <c r="E8" i="17" s="1"/>
  <c r="AW6" i="13" l="1"/>
  <c r="AR7" i="13"/>
  <c r="AW7" i="13" s="1"/>
  <c r="AX8" i="13"/>
  <c r="AW155" i="13"/>
  <c r="E18" i="17"/>
  <c r="E21" i="17" s="1"/>
  <c r="I150" i="18"/>
  <c r="I152" i="18" s="1"/>
  <c r="AX7" i="13" l="1"/>
  <c r="E2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tc={082A322B-4644-4C8E-A3BA-D13B3314E35C}</author>
  </authors>
  <commentList>
    <comment ref="B15" authorId="0" shapeId="0" xr:uid="{082A322B-4644-4C8E-A3BA-D13B3314E35C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Listrik 2200 Watt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tc={4570138B-F56B-452C-AA96-99BC57C470C6}</author>
  </authors>
  <commentList>
    <comment ref="B17" authorId="0" shapeId="0" xr:uid="{4570138B-F56B-452C-AA96-99BC57C470C6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Listrik 2200 Watt</t>
      </text>
    </comment>
  </commentList>
</comments>
</file>

<file path=xl/sharedStrings.xml><?xml version="1.0" encoding="utf-8"?>
<sst xmlns="http://schemas.openxmlformats.org/spreadsheetml/2006/main" count="1244" uniqueCount="260">
  <si>
    <t>NO</t>
  </si>
  <si>
    <t>URAIAN PEKERJAAN</t>
  </si>
  <si>
    <t>I</t>
  </si>
  <si>
    <t>PEKERJAAN PERSIAPAN</t>
  </si>
  <si>
    <t>II</t>
  </si>
  <si>
    <t>PEKERJAAN TANAH + PONDASI</t>
  </si>
  <si>
    <t>III</t>
  </si>
  <si>
    <t>PEKERJAAN BETON</t>
  </si>
  <si>
    <t>IV</t>
  </si>
  <si>
    <t>V</t>
  </si>
  <si>
    <t>VI</t>
  </si>
  <si>
    <t>IX</t>
  </si>
  <si>
    <t>PEKERJAAN SANITAIR</t>
  </si>
  <si>
    <t>m1</t>
  </si>
  <si>
    <t>m2</t>
  </si>
  <si>
    <t>m3</t>
  </si>
  <si>
    <t>bh</t>
  </si>
  <si>
    <t>ttk</t>
  </si>
  <si>
    <t>unit</t>
  </si>
  <si>
    <t>PEKERJAAN M &amp; E</t>
  </si>
  <si>
    <t>PEKERJAAN ATAP</t>
  </si>
  <si>
    <t>VII</t>
  </si>
  <si>
    <t>VIII</t>
  </si>
  <si>
    <t>PEKERJAAN</t>
  </si>
  <si>
    <t>:</t>
  </si>
  <si>
    <t>OWNER</t>
  </si>
  <si>
    <t>LOKASI</t>
  </si>
  <si>
    <t>VOLUME</t>
  </si>
  <si>
    <t>JUMLAH</t>
  </si>
  <si>
    <t>(Rp)</t>
  </si>
  <si>
    <t>REKAPITULASI RENCANA ANGGARAN BIAYA</t>
  </si>
  <si>
    <t>X</t>
  </si>
  <si>
    <t>Pek. Pasang instalasi air kotor 4'' AW</t>
  </si>
  <si>
    <t>Pek. Pasang instalasi air bersih 1/2'' AW</t>
  </si>
  <si>
    <t>Pek. Pasang instalasi air kotor 3'' AW</t>
  </si>
  <si>
    <t>Pek. Pasang instalasi air bersih 1'' AW</t>
  </si>
  <si>
    <t>DIBULATKAN</t>
  </si>
  <si>
    <t>Material + Upah</t>
  </si>
  <si>
    <t>Jumlah Material + Upah</t>
  </si>
  <si>
    <t>Haga Satuan Material</t>
  </si>
  <si>
    <t xml:space="preserve"> Harga Satuan Upah</t>
  </si>
  <si>
    <t>Jumlah Harga Material</t>
  </si>
  <si>
    <t>Jumlah Harga Upah</t>
  </si>
  <si>
    <t xml:space="preserve">PEKERJAAN PASANGAN DINDING, LANTAI, PLESTERAN DAN ACIAN </t>
  </si>
  <si>
    <t>PEKERJAAN LAIN-LAIN</t>
  </si>
  <si>
    <t>JUMLAH I</t>
  </si>
  <si>
    <t>No</t>
  </si>
  <si>
    <t>Direksi Keet, Bedeng tenaga dan gudang material</t>
  </si>
  <si>
    <t>Pek. Plesteran dinding</t>
  </si>
  <si>
    <t>List Plank Kalsiplank + Talang zincalume</t>
  </si>
  <si>
    <t>Talang zincalume</t>
  </si>
  <si>
    <t>Pek. Pasangan dinding  hebel</t>
  </si>
  <si>
    <t>Pek. Pasangan Dinding Trasram</t>
  </si>
  <si>
    <t>Parapet</t>
  </si>
  <si>
    <t>LANTAI 1</t>
  </si>
  <si>
    <t>Beton Lapangan</t>
  </si>
  <si>
    <t>ls</t>
  </si>
  <si>
    <t>Instalasi Listrik</t>
  </si>
  <si>
    <t>Instalasi Air Bersih, Sumur Bor</t>
  </si>
  <si>
    <t>MCK</t>
  </si>
  <si>
    <t>Mobilisasi dan Remobilisasi</t>
  </si>
  <si>
    <t>Beton Dinding Wudhu</t>
  </si>
  <si>
    <t xml:space="preserve">Uitzet / Bowplank : </t>
  </si>
  <si>
    <t>Pembersihan</t>
  </si>
  <si>
    <t>m</t>
  </si>
  <si>
    <t>Galian Tanah : PC-01 (0,6x0,6)</t>
  </si>
  <si>
    <t>Galian Tanah : PC-02 (0,8x0,8)</t>
  </si>
  <si>
    <t>Pasir Urug : PC-01 (Tebal 5 cm)</t>
  </si>
  <si>
    <t>Pasir Urug : PC-02 (Tebal 5 cm)</t>
  </si>
  <si>
    <t>Lantai Kerja : PC-01 (Tebal 5 cm)</t>
  </si>
  <si>
    <t>Lantai Kerja : PC-02 (Tebal 5 cm)</t>
  </si>
  <si>
    <t>Openingan</t>
  </si>
  <si>
    <t>kg</t>
  </si>
  <si>
    <t>Pembesian Dinding Beton Wudhu</t>
  </si>
  <si>
    <t>Wire Mesh Beton Lapangan</t>
  </si>
  <si>
    <t>Pekerjaan Plasteran Parapet</t>
  </si>
  <si>
    <t>Atap Bitumen</t>
  </si>
  <si>
    <t>Bubungan Atap</t>
  </si>
  <si>
    <t>Atap Onduline</t>
  </si>
  <si>
    <t>Rangka Atap Onduline</t>
  </si>
  <si>
    <t>Item</t>
  </si>
  <si>
    <t>BP-01</t>
  </si>
  <si>
    <t>BP-02</t>
  </si>
  <si>
    <t>Jumlah Tulangan Besi Utama</t>
  </si>
  <si>
    <t>Jumlah Tulangan Besi Sengkang</t>
  </si>
  <si>
    <t>Panjang Besi Sengkang (m)</t>
  </si>
  <si>
    <t>Diameter Besi Sengkang (m)</t>
  </si>
  <si>
    <t>Jarak Antar Besi Sengkang (m)</t>
  </si>
  <si>
    <t>Panjang Besi Tulangan Utama (m)</t>
  </si>
  <si>
    <t>Diameter Besi Utama (m)</t>
  </si>
  <si>
    <t>Kedalaman (m)</t>
  </si>
  <si>
    <t>Diameter (m)</t>
  </si>
  <si>
    <t>Jumlah Pondasi (pcs)</t>
  </si>
  <si>
    <t>Berat Besi Utama (btg)</t>
  </si>
  <si>
    <t>Berat Besi Sengkang (btg)</t>
  </si>
  <si>
    <t>Berat Besi Utama (kg)</t>
  </si>
  <si>
    <t>Berat Besi Sengkang (kg)</t>
  </si>
  <si>
    <t>Total Kebutuhan Besi Utama (btg)</t>
  </si>
  <si>
    <t>Total Kebutuhan Besi Sengkang (btg)</t>
  </si>
  <si>
    <t>Total Berat Besi Utama (kg)</t>
  </si>
  <si>
    <t>Total Berat Besi Sengkang (kg)</t>
  </si>
  <si>
    <t>Total Berat Besi (kg)</t>
  </si>
  <si>
    <t>Pekerjaan Pembesian Bore Pile BP-01</t>
  </si>
  <si>
    <t>Pekerjaan Pembesian Bore Pile BP-02</t>
  </si>
  <si>
    <t>Pekerjaan Beton Pile Cap : PC-01</t>
  </si>
  <si>
    <t>Pekerjaan Beton Pile Cap : PC-02</t>
  </si>
  <si>
    <t>Panjang Overlap (m)</t>
  </si>
  <si>
    <t>Total Berat Besi Overlap (kg)</t>
  </si>
  <si>
    <t>Pekerjaan Pembesian Pile Cap : PC-01</t>
  </si>
  <si>
    <t>Pekerjaan Pembesian Pile Cap : PC-02</t>
  </si>
  <si>
    <t>Pekerjaan Bekisting Pile Cap : PC-01</t>
  </si>
  <si>
    <t>Pekerjaan Bekisting Pile Cap : PC-02</t>
  </si>
  <si>
    <t>Pekerjaan Beton Tie Beam 2</t>
  </si>
  <si>
    <t>Pekerjaan Beton Tie Beam 3</t>
  </si>
  <si>
    <t>Pekerjaan Beton Tie Beam 4</t>
  </si>
  <si>
    <t>Pekerjaan Pembesian Tie Beam 2</t>
  </si>
  <si>
    <t>Pekerjaan Pembesian Tie Beam 3</t>
  </si>
  <si>
    <t>Pekerjaan Pembesian Tie Beam 4</t>
  </si>
  <si>
    <t>Pekerjaan Bekisting Tie Beam 2</t>
  </si>
  <si>
    <t>Pekerjaan Bekisting Tie Beam 3</t>
  </si>
  <si>
    <t>Pekerjaan Bekisting Tie Beam 4</t>
  </si>
  <si>
    <t>Galian Tie Footplate F2</t>
  </si>
  <si>
    <t>Galian Tie Beam 2</t>
  </si>
  <si>
    <t>Galian Tie Beam 3</t>
  </si>
  <si>
    <t>Galian Tie Beam 4</t>
  </si>
  <si>
    <t>Pasir Urug F2 (Tebal 5 cm)</t>
  </si>
  <si>
    <t>Lantai Kerja F2 (Tebal 5 cm)</t>
  </si>
  <si>
    <t>Pekerjaan Pembesian Kolom K3</t>
  </si>
  <si>
    <t>Pekerjaan Bekisting Kolom K3</t>
  </si>
  <si>
    <t>Pekerjaan Pembesian Kolom K3a</t>
  </si>
  <si>
    <t>Pekerjaan Bekisting Kolom K3a</t>
  </si>
  <si>
    <t>Pekerjaan Pembesian Balok B1</t>
  </si>
  <si>
    <t>Pekerjaan Bekisting Balok B1</t>
  </si>
  <si>
    <t>Pekerjaan Pembesian Balok B2</t>
  </si>
  <si>
    <t>Pekerjaan Bekisting Balok B2</t>
  </si>
  <si>
    <t>Pekerjaan Pembesian Balok B3</t>
  </si>
  <si>
    <t>Pekerjaan Bekisting Balok B3</t>
  </si>
  <si>
    <t>Pekerjaan Pembesian RB1</t>
  </si>
  <si>
    <t>Pekerjaan Bekisting RB1</t>
  </si>
  <si>
    <t>Pekerjaan  Beton Kolom K3</t>
  </si>
  <si>
    <t>Pekerjaan  Beton Kolom K3a</t>
  </si>
  <si>
    <t>Pekerjaan Beton Balok B1</t>
  </si>
  <si>
    <t>Pekerjaan  Beton Balok B2</t>
  </si>
  <si>
    <t>Pekerjaan  Beton Balok B3</t>
  </si>
  <si>
    <t>Pekerjaan Beton RB1</t>
  </si>
  <si>
    <t>Pekerjaan Pembesian Dak Atap</t>
  </si>
  <si>
    <t>Pekerjaan Bekisting Dak Atap</t>
  </si>
  <si>
    <t>Pekerjaan Beton Dak Atap</t>
  </si>
  <si>
    <t>Urugan Tanah Kembali</t>
  </si>
  <si>
    <t>SUB TOTAL</t>
  </si>
  <si>
    <t>Pekerjaan Beton Bore Pile BP-01 - K175</t>
  </si>
  <si>
    <t>Pekerjaan Beton Bore Pile BP-02 - K175</t>
  </si>
  <si>
    <t>Pekerjaan Pembesian Wiremesh M10</t>
  </si>
  <si>
    <t>Pekerjaan Pengecoran beton Lantai K-175</t>
  </si>
  <si>
    <t>Pekerjaan Pembesian Footplate F1</t>
  </si>
  <si>
    <t>Pekerjaan Bekisting Footplate 'F1</t>
  </si>
  <si>
    <t>Pekerjaan Beton Footplate F1</t>
  </si>
  <si>
    <t>PEKERJAAN STRUKTUR BAJA</t>
  </si>
  <si>
    <t>Pekerjaan kolom baja : WF-250.125 .6.9mm</t>
  </si>
  <si>
    <t>Pekerjaan balok baja :  WF-250.125.6.9mm</t>
  </si>
  <si>
    <t>Pekerjaan Atap Gording WF-150.75.5.7mm</t>
  </si>
  <si>
    <t>Pekerjaan Atap Gording WF-200.100.5,5.8mm</t>
  </si>
  <si>
    <t>Pekerjaan Beton Komposit Kolom WF</t>
  </si>
  <si>
    <t>Knocking PAM</t>
  </si>
  <si>
    <t>CBR Test (Lapangan)</t>
  </si>
  <si>
    <t>Urugan Field</t>
  </si>
  <si>
    <t>As Built &amp; Shopdrawing</t>
  </si>
  <si>
    <t>Instalasi Lampu</t>
  </si>
  <si>
    <t>Instalasi Stop Kontak</t>
  </si>
  <si>
    <t>Instalasi Stop Kontak AC</t>
  </si>
  <si>
    <t>Instalasi Saklar</t>
  </si>
  <si>
    <t>Pek. Pasang instalasi air bersih 3/4'' AW</t>
  </si>
  <si>
    <t>Pek. Acian</t>
  </si>
  <si>
    <t>K3 Tools</t>
  </si>
  <si>
    <t>Keamanan</t>
  </si>
  <si>
    <t>weekly Report</t>
  </si>
  <si>
    <t>Invoice Document</t>
  </si>
  <si>
    <t>Monthly Report</t>
  </si>
  <si>
    <t>Total</t>
  </si>
  <si>
    <t>K1
(10%)</t>
  </si>
  <si>
    <t>K2
(2,5%)</t>
  </si>
  <si>
    <t>K3
(2,5%)</t>
  </si>
  <si>
    <t>GM
(15%)</t>
  </si>
  <si>
    <t>PEKERJAAN Instalasi M &amp; E</t>
  </si>
  <si>
    <t>Harga Satuan Material + Upah</t>
  </si>
  <si>
    <t>PT. Cipta Karya Serasi</t>
  </si>
  <si>
    <t>Cibinong, Bogor</t>
  </si>
  <si>
    <t>RUMAH Qur'an Az'Zakir</t>
  </si>
  <si>
    <t>RENCANA ANGGARAN BIAYA</t>
  </si>
  <si>
    <t>Pekerjaan WF</t>
  </si>
  <si>
    <t>Wiremesh car port</t>
  </si>
  <si>
    <t>Beton carport</t>
  </si>
  <si>
    <t>PEKERJAAN CARPORT</t>
  </si>
  <si>
    <t>PPH 23 (2%)</t>
  </si>
  <si>
    <t xml:space="preserve">Final harga </t>
  </si>
  <si>
    <t xml:space="preserve">Bobot </t>
  </si>
  <si>
    <t>(%)</t>
  </si>
  <si>
    <t>Bobot</t>
  </si>
  <si>
    <t>130,12</t>
  </si>
  <si>
    <t>Nilai Kontrak</t>
  </si>
  <si>
    <t>BOQ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</si>
  <si>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</si>
  <si>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</si>
  <si>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</si>
  <si>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</si>
  <si>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</si>
  <si>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</si>
  <si>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</si>
  <si>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</si>
  <si>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</si>
  <si>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</si>
  <si>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</si>
  <si>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</si>
  <si>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</si>
  <si>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</si>
  <si>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</si>
  <si>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</si>
  <si>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</si>
  <si>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</si>
  <si>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</si>
  <si>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</si>
  <si>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</si>
  <si>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</si>
  <si>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</si>
  <si>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</si>
  <si>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</si>
  <si>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</si>
  <si>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</si>
  <si>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</si>
  <si>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Juli 24</t>
  </si>
  <si>
    <t>Agustus 24</t>
  </si>
  <si>
    <t>September 24</t>
  </si>
  <si>
    <t>Oktober 24</t>
  </si>
  <si>
    <t>November 24</t>
  </si>
  <si>
    <t>Desember 24</t>
  </si>
  <si>
    <t>Januari 25</t>
  </si>
  <si>
    <t>NK</t>
  </si>
  <si>
    <t>M2/Set</t>
  </si>
  <si>
    <t>set</t>
  </si>
  <si>
    <t>Set</t>
  </si>
  <si>
    <t>Pek. Pasangan dinding  1/2 Batu (@ Bata Merah)</t>
  </si>
  <si>
    <t>Konecting PAM</t>
  </si>
  <si>
    <t>RAP</t>
  </si>
  <si>
    <t>Total Harga</t>
  </si>
  <si>
    <t>Persentase RAB vs Nilai Kontrak</t>
  </si>
  <si>
    <t>Kontingensi</t>
  </si>
  <si>
    <t>Grand Total RAB</t>
  </si>
  <si>
    <t xml:space="preserve">PPh </t>
  </si>
  <si>
    <t>Balance</t>
  </si>
  <si>
    <t>(Daya Listrik 2200 Watt By owner)</t>
  </si>
  <si>
    <t>Token Listrik</t>
  </si>
  <si>
    <t>DP</t>
  </si>
  <si>
    <t>Bobot Rencana</t>
  </si>
  <si>
    <t>Komulatif Bobot Rencana</t>
  </si>
  <si>
    <t>Pek. Pasangan dinding  merah</t>
  </si>
  <si>
    <t>Grand Total</t>
  </si>
  <si>
    <t>NK Incl. PPh</t>
  </si>
  <si>
    <t>PPh 2%</t>
  </si>
  <si>
    <t xml:space="preserve">Rencana Pembayaran </t>
  </si>
  <si>
    <t>Rencana Bobot Perbulan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</si>
</sst>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(* #,##0.00_);_(* \(#,##0.00\);_(* &quot;-&quot;_);_(@_)"/>
    <numFmt numFmtId="168" formatCode="_(* #,##0_);_(* \(#,##0\);_(* &quot;-&quot;??_);_(@_)"/>
    <numFmt numFmtId="169" formatCode="_(* #,##0.000_);_(* \(#,##0.000\);_(* &quot;-&quot;_);_(@_)"/>
    <numFmt numFmtId="170" formatCode="#,##0;\-#,##0;&quot;-&quot;"/>
    <numFmt numFmtId="171" formatCode="#,##0\ ;\(#,##0\)"/>
    <numFmt numFmtId="172" formatCode="#,##0.00_);\(#,##0.0\)"/>
    <numFmt numFmtId="173" formatCode="_(* #,##0.0000000000_);_(* \(#,##0.0000000000\);_.* \-??_);_.@_)"/>
    <numFmt numFmtId="174" formatCode="#,##0_);[Red]\(#,##0\);;@"/>
    <numFmt numFmtId="175" formatCode="_([$€-2]* #,##0.00_);_([$€-2]* \(#,##0.00\);_([$€-2]* &quot;-&quot;??_)"/>
    <numFmt numFmtId="176" formatCode="0.000%"/>
    <numFmt numFmtId="177" formatCode="0.00_)"/>
    <numFmt numFmtId="178" formatCode="mm/dd/yy"/>
    <numFmt numFmtId="179" formatCode="_-&quot;$&quot;* #,##0_-;\-&quot;$&quot;* #,##0_-;_-&quot;$&quot;* &quot;-&quot;_-;_-@_-"/>
    <numFmt numFmtId="180" formatCode="_-&quot;$&quot;* #,##0.00_-;\-&quot;$&quot;* #,##0.00_-;_-&quot;$&quot;* &quot;-&quot;??_-;_-@_-"/>
    <numFmt numFmtId="181" formatCode="&quot;\&quot;#,##0;[Red]&quot;\&quot;&quot;\&quot;\-#,##0"/>
    <numFmt numFmtId="182" formatCode="&quot;\&quot;#,##0.00;[Red]&quot;\&quot;&quot;\&quot;&quot;\&quot;&quot;\&quot;&quot;\&quot;&quot;\&quot;\-#,##0.00"/>
    <numFmt numFmtId="183" formatCode="&quot;\&quot;#,##0.00;[Red]&quot;\&quot;\-#,##0.00"/>
    <numFmt numFmtId="184" formatCode="&quot;\&quot;#,##0;[Red]&quot;\&quot;\-#,##0"/>
    <numFmt numFmtId="185" formatCode="0.0%"/>
    <numFmt numFmtId="186" formatCode="_-&quot;Rp&quot;* #,##0_-;\-&quot;Rp&quot;* #,##0_-;_-&quot;Rp&quot;* &quot;-&quot;??_-;_-@_-"/>
    <numFmt numFmtId="187" formatCode="[$-13809]d\ mmm\ yyyy;@"/>
    <numFmt numFmtId="188" formatCode="_-* #,##0_-;\-* #,##0_-;_-* &quot;-&quot;??_-;_-@_-"/>
  </numFmts>
  <fonts count="5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u/>
      <sz val="18"/>
      <color indexed="9"/>
      <name val="Tahoma"/>
      <family val="2"/>
    </font>
    <font>
      <sz val="12"/>
      <name val="Tms Rmn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0"/>
      <name val="MS Serif"/>
      <family val="1"/>
    </font>
    <font>
      <sz val="1"/>
      <color indexed="8"/>
      <name val="Courier New"/>
      <family val="3"/>
    </font>
    <font>
      <sz val="10"/>
      <name val="Century Gothic"/>
      <family val="2"/>
    </font>
    <font>
      <sz val="10"/>
      <color indexed="16"/>
      <name val="MS Serif"/>
      <family val="1"/>
    </font>
    <font>
      <sz val="8"/>
      <name val="Arial"/>
      <family val="2"/>
    </font>
    <font>
      <u/>
      <sz val="8.5"/>
      <color theme="10"/>
      <name val="Arial"/>
      <family val="2"/>
    </font>
    <font>
      <sz val="9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12"/>
      <name val="Helv"/>
    </font>
    <font>
      <b/>
      <i/>
      <u/>
      <sz val="10"/>
      <name val="Arial"/>
      <family val="2"/>
    </font>
    <font>
      <sz val="8"/>
      <name val="Helv"/>
    </font>
    <font>
      <b/>
      <sz val="8"/>
      <color indexed="8"/>
      <name val="Helv"/>
    </font>
    <font>
      <u/>
      <sz val="10"/>
      <color indexed="14"/>
      <name val="COUR"/>
      <family val="3"/>
    </font>
    <font>
      <sz val="12"/>
      <name val="新細明體"/>
      <family val="1"/>
      <charset val="136"/>
    </font>
    <font>
      <sz val="14"/>
      <name val="뼻뮝"/>
      <family val="3"/>
    </font>
    <font>
      <sz val="12"/>
      <name val="뼻뮝"/>
      <family val="3"/>
    </font>
    <font>
      <sz val="12"/>
      <name val="바탕체"/>
      <family val="3"/>
    </font>
    <font>
      <sz val="10"/>
      <name val="굴림체"/>
      <family val="3"/>
    </font>
    <font>
      <sz val="14"/>
      <name val="Arial"/>
      <family val="2"/>
    </font>
    <font>
      <b/>
      <i/>
      <sz val="14"/>
      <name val="Book Antiqua"/>
      <family val="1"/>
    </font>
    <font>
      <sz val="14"/>
      <name val="Book Antiqua"/>
      <family val="1"/>
    </font>
    <font>
      <b/>
      <sz val="14"/>
      <name val="Book Antiqua"/>
      <family val="1"/>
    </font>
    <font>
      <b/>
      <sz val="12"/>
      <name val="Book Antiqua"/>
      <family val="1"/>
    </font>
    <font>
      <sz val="12"/>
      <name val="Book Antiqua"/>
      <family val="1"/>
    </font>
    <font>
      <b/>
      <u/>
      <sz val="12"/>
      <name val="Book Antiqua"/>
      <family val="1"/>
    </font>
    <font>
      <b/>
      <i/>
      <sz val="12"/>
      <name val="Book Antiqua"/>
      <family val="1"/>
    </font>
    <font>
      <u/>
      <sz val="12"/>
      <name val="Book Antiqua"/>
      <family val="1"/>
    </font>
    <font>
      <sz val="12"/>
      <color rgb="FFFF0000"/>
      <name val="Book Antiqua"/>
      <family val="1"/>
    </font>
    <font>
      <b/>
      <i/>
      <sz val="16"/>
      <name val="Book Antiqua"/>
      <family val="1"/>
    </font>
    <font>
      <b/>
      <sz val="16"/>
      <name val="Book Antiqua"/>
      <family val="1"/>
    </font>
    <font>
      <sz val="8"/>
      <name val="Arial"/>
      <family val="2"/>
    </font>
    <font>
      <sz val="10"/>
      <name val="Arial"/>
      <family val="2"/>
    </font>
    <font>
      <b/>
      <sz val="14"/>
      <color rgb="FFFF0000"/>
      <name val="Book Antiqua"/>
      <family val="1"/>
    </font>
    <font>
      <b/>
      <i/>
      <sz val="16"/>
      <color rgb="FFFF0000"/>
      <name val="Book Antiqua"/>
      <family val="1"/>
    </font>
    <font>
      <b/>
      <sz val="12"/>
      <color rgb="FFFF0000"/>
      <name val="Book Antiqua"/>
      <family val="1"/>
    </font>
    <font>
      <b/>
      <u/>
      <sz val="12"/>
      <color rgb="FFFF0000"/>
      <name val="Book Antiqua"/>
      <family val="1"/>
    </font>
    <font>
      <sz val="16"/>
      <name val="Book Antiqua"/>
      <family val="1"/>
    </font>
    <font>
      <b/>
      <sz val="16"/>
      <color rgb="FFFF0000"/>
      <name val="Book Antiqua"/>
      <family val="1"/>
    </font>
    <font>
      <sz val="12"/>
      <color theme="0"/>
      <name val="Book Antiqua"/>
      <family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3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5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/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auto="1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547">
    <xf numFmtId="0" fontId="0" fillId="0" borderId="0"/>
    <xf numFmtId="43" fontId="3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" fillId="4" borderId="0" applyNumberFormat="0" applyBorder="0" applyAlignment="0"/>
    <xf numFmtId="0" fontId="8" fillId="0" borderId="0" applyFill="0" applyBorder="0">
      <alignment vertical="center"/>
    </xf>
    <xf numFmtId="0" fontId="10" fillId="0" borderId="0" applyNumberFormat="0" applyFill="0" applyBorder="0" applyAlignment="0" applyProtection="0"/>
    <xf numFmtId="170" fontId="11" fillId="0" borderId="0" applyFill="0" applyBorder="0" applyAlignment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2" fontId="8" fillId="0" borderId="0">
      <protection locked="0"/>
    </xf>
    <xf numFmtId="0" fontId="14" fillId="0" borderId="0" applyNumberFormat="0" applyAlignment="0">
      <alignment horizontal="left"/>
    </xf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73" fontId="8" fillId="0" borderId="0">
      <protection locked="0"/>
    </xf>
    <xf numFmtId="0" fontId="15" fillId="0" borderId="0">
      <protection locked="0"/>
    </xf>
    <xf numFmtId="0" fontId="8" fillId="0" borderId="0" applyNumberFormat="0">
      <alignment horizontal="center"/>
    </xf>
    <xf numFmtId="174" fontId="16" fillId="0" borderId="0" applyFont="0" applyFill="0" applyBorder="0">
      <alignment horizontal="left" vertical="top" wrapText="1"/>
      <protection locked="0"/>
    </xf>
    <xf numFmtId="0" fontId="17" fillId="0" borderId="0" applyNumberFormat="0" applyAlignment="0">
      <alignment horizontal="left"/>
    </xf>
    <xf numFmtId="175" fontId="8" fillId="0" borderId="0" applyFont="0" applyFill="0" applyBorder="0" applyAlignment="0" applyProtection="0"/>
    <xf numFmtId="0" fontId="13" fillId="0" borderId="0"/>
    <xf numFmtId="0" fontId="8" fillId="0" borderId="0">
      <protection locked="0"/>
    </xf>
    <xf numFmtId="38" fontId="18" fillId="5" borderId="0" applyNumberFormat="0" applyBorder="0" applyAlignment="0" applyProtection="0"/>
    <xf numFmtId="176" fontId="8" fillId="0" borderId="0" applyFill="0" applyBorder="0" applyAlignment="0"/>
    <xf numFmtId="0" fontId="6" fillId="0" borderId="25" applyNumberFormat="0" applyAlignment="0" applyProtection="0">
      <alignment horizontal="left" vertical="center"/>
    </xf>
    <xf numFmtId="0" fontId="6" fillId="0" borderId="26">
      <alignment horizontal="left" vertical="center"/>
    </xf>
    <xf numFmtId="0" fontId="19" fillId="0" borderId="0" applyNumberFormat="0" applyFill="0" applyBorder="0" applyAlignment="0" applyProtection="0">
      <alignment vertical="top"/>
      <protection locked="0"/>
    </xf>
    <xf numFmtId="10" fontId="18" fillId="6" borderId="27" applyNumberFormat="0" applyBorder="0" applyAlignment="0" applyProtection="0"/>
    <xf numFmtId="0" fontId="20" fillId="0" borderId="14">
      <alignment horizontal="center"/>
    </xf>
    <xf numFmtId="0" fontId="20" fillId="0" borderId="28">
      <alignment horizontal="center"/>
    </xf>
    <xf numFmtId="0" fontId="20" fillId="0" borderId="28">
      <alignment horizontal="center"/>
    </xf>
    <xf numFmtId="0" fontId="20" fillId="0" borderId="14">
      <alignment horizontal="center"/>
    </xf>
    <xf numFmtId="37" fontId="21" fillId="0" borderId="0"/>
    <xf numFmtId="177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2" fillId="0" borderId="0"/>
    <xf numFmtId="1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78" fontId="25" fillId="0" borderId="0" applyNumberFormat="0" applyFill="0" applyBorder="0" applyAlignment="0" applyProtection="0">
      <alignment horizontal="left"/>
    </xf>
    <xf numFmtId="40" fontId="26" fillId="0" borderId="0" applyBorder="0">
      <alignment horizontal="right"/>
    </xf>
    <xf numFmtId="174" fontId="16" fillId="0" borderId="0" applyFont="0">
      <protection locked="0"/>
    </xf>
    <xf numFmtId="174" fontId="16" fillId="0" borderId="0" applyFont="0">
      <alignment horizontal="center"/>
      <protection locked="0"/>
    </xf>
    <xf numFmtId="0" fontId="27" fillId="0" borderId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8" fillId="0" borderId="0"/>
    <xf numFmtId="40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0" fontId="8" fillId="0" borderId="0" applyFont="0" applyFill="0" applyBorder="0" applyAlignment="0" applyProtection="0"/>
    <xf numFmtId="0" fontId="30" fillId="0" borderId="0"/>
    <xf numFmtId="181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0" fontId="32" fillId="0" borderId="0"/>
    <xf numFmtId="0" fontId="28" fillId="0" borderId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8" fillId="0" borderId="0"/>
    <xf numFmtId="179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Fill="0" applyBorder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>
      <protection locked="0"/>
    </xf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3" fontId="3" fillId="0" borderId="0">
      <protection locked="0"/>
    </xf>
    <xf numFmtId="0" fontId="3" fillId="0" borderId="0" applyNumberFormat="0">
      <alignment horizontal="center"/>
    </xf>
    <xf numFmtId="175" fontId="3" fillId="0" borderId="0" applyFont="0" applyFill="0" applyBorder="0" applyAlignment="0" applyProtection="0"/>
    <xf numFmtId="0" fontId="3" fillId="0" borderId="0">
      <protection locked="0"/>
    </xf>
    <xf numFmtId="176" fontId="3" fillId="0" borderId="0" applyFill="0" applyBorder="0" applyAlignment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46" fillId="0" borderId="0" applyFont="0" applyFill="0" applyBorder="0" applyAlignment="0" applyProtection="0"/>
  </cellStyleXfs>
  <cellXfs count="755">
    <xf numFmtId="0" fontId="0" fillId="0" borderId="0" xfId="0"/>
    <xf numFmtId="0" fontId="5" fillId="3" borderId="0" xfId="0" applyFont="1" applyFill="1"/>
    <xf numFmtId="43" fontId="5" fillId="3" borderId="0" xfId="128" applyFont="1" applyFill="1"/>
    <xf numFmtId="0" fontId="33" fillId="3" borderId="0" xfId="0" applyFont="1" applyFill="1"/>
    <xf numFmtId="0" fontId="6" fillId="3" borderId="0" xfId="0" applyFont="1" applyFill="1"/>
    <xf numFmtId="0" fontId="5" fillId="3" borderId="0" xfId="0" applyFont="1" applyFill="1" applyAlignment="1">
      <alignment vertical="top"/>
    </xf>
    <xf numFmtId="0" fontId="5" fillId="3" borderId="0" xfId="7" applyFont="1" applyFill="1" applyAlignment="1">
      <alignment vertical="top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horizontal="center"/>
    </xf>
    <xf numFmtId="0" fontId="34" fillId="0" borderId="7" xfId="2" applyFont="1" applyBorder="1" applyAlignment="1">
      <alignment horizontal="left"/>
    </xf>
    <xf numFmtId="0" fontId="35" fillId="3" borderId="7" xfId="0" applyFont="1" applyFill="1" applyBorder="1"/>
    <xf numFmtId="43" fontId="35" fillId="3" borderId="54" xfId="128" applyFont="1" applyFill="1" applyBorder="1"/>
    <xf numFmtId="0" fontId="36" fillId="0" borderId="55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7" applyFont="1"/>
    <xf numFmtId="43" fontId="35" fillId="3" borderId="56" xfId="128" applyFont="1" applyFill="1" applyBorder="1"/>
    <xf numFmtId="0" fontId="36" fillId="0" borderId="18" xfId="0" applyFont="1" applyBorder="1" applyAlignment="1">
      <alignment vertical="center"/>
    </xf>
    <xf numFmtId="0" fontId="36" fillId="0" borderId="17" xfId="0" applyFont="1" applyBorder="1" applyAlignment="1">
      <alignment vertical="center"/>
    </xf>
    <xf numFmtId="0" fontId="36" fillId="2" borderId="17" xfId="7" applyFont="1" applyFill="1" applyBorder="1"/>
    <xf numFmtId="43" fontId="35" fillId="3" borderId="19" xfId="128" applyFont="1" applyFill="1" applyBorder="1"/>
    <xf numFmtId="43" fontId="37" fillId="2" borderId="47" xfId="9" applyFont="1" applyFill="1" applyBorder="1" applyAlignment="1">
      <alignment horizontal="center" vertical="center" wrapText="1"/>
    </xf>
    <xf numFmtId="43" fontId="37" fillId="2" borderId="48" xfId="9" applyFont="1" applyFill="1" applyBorder="1" applyAlignment="1">
      <alignment horizontal="center" wrapText="1"/>
    </xf>
    <xf numFmtId="0" fontId="37" fillId="3" borderId="12" xfId="0" applyFont="1" applyFill="1" applyBorder="1" applyAlignment="1">
      <alignment horizontal="center"/>
    </xf>
    <xf numFmtId="0" fontId="38" fillId="3" borderId="0" xfId="0" applyFont="1" applyFill="1" applyAlignment="1">
      <alignment horizontal="center"/>
    </xf>
    <xf numFmtId="0" fontId="38" fillId="3" borderId="0" xfId="0" applyFont="1" applyFill="1"/>
    <xf numFmtId="43" fontId="38" fillId="3" borderId="13" xfId="128" applyFont="1" applyFill="1" applyBorder="1"/>
    <xf numFmtId="0" fontId="37" fillId="3" borderId="8" xfId="0" applyFont="1" applyFill="1" applyBorder="1" applyAlignment="1">
      <alignment horizontal="center"/>
    </xf>
    <xf numFmtId="0" fontId="37" fillId="3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horizontal="center"/>
    </xf>
    <xf numFmtId="0" fontId="38" fillId="3" borderId="1" xfId="0" applyFont="1" applyFill="1" applyBorder="1"/>
    <xf numFmtId="43" fontId="38" fillId="3" borderId="9" xfId="128" applyFont="1" applyFill="1" applyBorder="1"/>
    <xf numFmtId="0" fontId="37" fillId="3" borderId="1" xfId="0" applyFont="1" applyFill="1" applyBorder="1" applyAlignment="1">
      <alignment horizontal="center"/>
    </xf>
    <xf numFmtId="0" fontId="39" fillId="3" borderId="1" xfId="0" applyFont="1" applyFill="1" applyBorder="1" applyAlignment="1">
      <alignment horizontal="left" wrapText="1" indent="1"/>
    </xf>
    <xf numFmtId="0" fontId="39" fillId="3" borderId="1" xfId="0" applyFont="1" applyFill="1" applyBorder="1" applyAlignment="1">
      <alignment horizontal="left" indent="1"/>
    </xf>
    <xf numFmtId="0" fontId="37" fillId="3" borderId="1" xfId="0" applyFont="1" applyFill="1" applyBorder="1" applyAlignment="1">
      <alignment horizontal="center" vertical="top"/>
    </xf>
    <xf numFmtId="0" fontId="37" fillId="3" borderId="1" xfId="0" applyFont="1" applyFill="1" applyBorder="1" applyAlignment="1">
      <alignment horizontal="left" vertical="top" indent="1"/>
    </xf>
    <xf numFmtId="43" fontId="38" fillId="3" borderId="9" xfId="128" applyFont="1" applyFill="1" applyBorder="1" applyAlignment="1">
      <alignment vertical="top"/>
    </xf>
    <xf numFmtId="43" fontId="38" fillId="3" borderId="9" xfId="128" applyFont="1" applyFill="1" applyBorder="1" applyAlignment="1">
      <alignment horizontal="right" vertical="center"/>
    </xf>
    <xf numFmtId="43" fontId="38" fillId="3" borderId="15" xfId="128" applyFont="1" applyFill="1" applyBorder="1" applyAlignment="1">
      <alignment horizontal="right" vertical="top"/>
    </xf>
    <xf numFmtId="0" fontId="40" fillId="3" borderId="1" xfId="0" applyFont="1" applyFill="1" applyBorder="1" applyAlignment="1">
      <alignment horizontal="right" vertical="top" indent="1"/>
    </xf>
    <xf numFmtId="0" fontId="37" fillId="3" borderId="8" xfId="0" applyFont="1" applyFill="1" applyBorder="1" applyAlignment="1">
      <alignment horizontal="center" vertical="top"/>
    </xf>
    <xf numFmtId="0" fontId="38" fillId="3" borderId="12" xfId="7" applyFont="1" applyFill="1" applyBorder="1" applyAlignment="1">
      <alignment horizontal="center" vertical="top"/>
    </xf>
    <xf numFmtId="0" fontId="38" fillId="3" borderId="0" xfId="7" applyFont="1" applyFill="1" applyAlignment="1">
      <alignment horizontal="center" vertical="top"/>
    </xf>
    <xf numFmtId="0" fontId="38" fillId="3" borderId="0" xfId="7" applyFont="1" applyFill="1" applyAlignment="1">
      <alignment horizontal="left" vertical="top" indent="1"/>
    </xf>
    <xf numFmtId="0" fontId="37" fillId="3" borderId="44" xfId="0" applyFont="1" applyFill="1" applyBorder="1" applyAlignment="1">
      <alignment horizontal="center" vertical="center"/>
    </xf>
    <xf numFmtId="0" fontId="37" fillId="3" borderId="10" xfId="0" applyFont="1" applyFill="1" applyBorder="1" applyAlignment="1">
      <alignment horizontal="center" vertical="center"/>
    </xf>
    <xf numFmtId="0" fontId="40" fillId="3" borderId="10" xfId="0" applyFont="1" applyFill="1" applyBorder="1" applyAlignment="1">
      <alignment horizontal="right" vertical="center"/>
    </xf>
    <xf numFmtId="0" fontId="37" fillId="3" borderId="49" xfId="0" applyFont="1" applyFill="1" applyBorder="1" applyAlignment="1">
      <alignment horizontal="center" vertical="center"/>
    </xf>
    <xf numFmtId="0" fontId="37" fillId="3" borderId="50" xfId="0" applyFont="1" applyFill="1" applyBorder="1" applyAlignment="1">
      <alignment horizontal="center" vertical="center"/>
    </xf>
    <xf numFmtId="0" fontId="40" fillId="3" borderId="50" xfId="0" applyFont="1" applyFill="1" applyBorder="1" applyAlignment="1">
      <alignment horizontal="right" vertical="center"/>
    </xf>
    <xf numFmtId="0" fontId="37" fillId="3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left" vertical="center" indent="1"/>
    </xf>
    <xf numFmtId="43" fontId="37" fillId="3" borderId="0" xfId="128" applyFont="1" applyFill="1" applyBorder="1" applyAlignment="1">
      <alignment vertical="center"/>
    </xf>
    <xf numFmtId="43" fontId="38" fillId="3" borderId="0" xfId="128" applyFont="1" applyFill="1"/>
    <xf numFmtId="0" fontId="38" fillId="0" borderId="0" xfId="7" applyFont="1"/>
    <xf numFmtId="43" fontId="38" fillId="0" borderId="0" xfId="8" applyFont="1" applyFill="1"/>
    <xf numFmtId="0" fontId="38" fillId="0" borderId="0" xfId="7" applyFont="1" applyAlignment="1">
      <alignment horizontal="center"/>
    </xf>
    <xf numFmtId="0" fontId="37" fillId="0" borderId="0" xfId="7" applyFont="1"/>
    <xf numFmtId="0" fontId="38" fillId="0" borderId="39" xfId="7" applyFont="1" applyBorder="1" applyAlignment="1">
      <alignment horizontal="center"/>
    </xf>
    <xf numFmtId="0" fontId="38" fillId="0" borderId="24" xfId="9" applyNumberFormat="1" applyFont="1" applyFill="1" applyBorder="1" applyAlignment="1">
      <alignment horizontal="left" indent="1"/>
    </xf>
    <xf numFmtId="0" fontId="38" fillId="0" borderId="1" xfId="7" applyFont="1" applyBorder="1" applyAlignment="1">
      <alignment horizontal="center"/>
    </xf>
    <xf numFmtId="0" fontId="38" fillId="0" borderId="23" xfId="7" applyFont="1" applyBorder="1" applyAlignment="1">
      <alignment horizontal="center"/>
    </xf>
    <xf numFmtId="0" fontId="38" fillId="0" borderId="31" xfId="7" applyFont="1" applyBorder="1" applyAlignment="1">
      <alignment horizontal="center"/>
    </xf>
    <xf numFmtId="0" fontId="41" fillId="0" borderId="32" xfId="7" applyFont="1" applyBorder="1"/>
    <xf numFmtId="0" fontId="38" fillId="0" borderId="0" xfId="9" applyNumberFormat="1" applyFont="1" applyFill="1" applyAlignment="1">
      <alignment horizontal="left" indent="1"/>
    </xf>
    <xf numFmtId="43" fontId="42" fillId="0" borderId="0" xfId="8" applyFont="1" applyFill="1"/>
    <xf numFmtId="43" fontId="38" fillId="0" borderId="0" xfId="9" applyFont="1" applyFill="1"/>
    <xf numFmtId="0" fontId="42" fillId="0" borderId="0" xfId="16" applyFont="1"/>
    <xf numFmtId="169" fontId="38" fillId="0" borderId="0" xfId="11" applyNumberFormat="1" applyFont="1" applyFill="1"/>
    <xf numFmtId="0" fontId="37" fillId="0" borderId="0" xfId="7" applyFont="1" applyAlignment="1">
      <alignment vertical="center"/>
    </xf>
    <xf numFmtId="0" fontId="37" fillId="0" borderId="0" xfId="13" applyFont="1"/>
    <xf numFmtId="43" fontId="42" fillId="0" borderId="0" xfId="9" applyFont="1" applyFill="1"/>
    <xf numFmtId="0" fontId="36" fillId="0" borderId="0" xfId="7" applyFont="1" applyAlignment="1">
      <alignment horizontal="left"/>
    </xf>
    <xf numFmtId="0" fontId="35" fillId="0" borderId="0" xfId="7" applyFont="1"/>
    <xf numFmtId="0" fontId="36" fillId="0" borderId="17" xfId="7" applyFont="1" applyBorder="1"/>
    <xf numFmtId="0" fontId="36" fillId="3" borderId="0" xfId="0" applyFont="1" applyFill="1" applyAlignment="1">
      <alignment vertical="center"/>
    </xf>
    <xf numFmtId="0" fontId="38" fillId="3" borderId="8" xfId="0" applyFont="1" applyFill="1" applyBorder="1" applyAlignment="1">
      <alignment horizontal="center"/>
    </xf>
    <xf numFmtId="0" fontId="38" fillId="3" borderId="1" xfId="0" applyFont="1" applyFill="1" applyBorder="1" applyAlignment="1">
      <alignment vertical="center"/>
    </xf>
    <xf numFmtId="0" fontId="40" fillId="0" borderId="0" xfId="7" applyFont="1"/>
    <xf numFmtId="43" fontId="6" fillId="3" borderId="0" xfId="0" applyNumberFormat="1" applyFont="1" applyFill="1" applyAlignment="1">
      <alignment vertical="center"/>
    </xf>
    <xf numFmtId="0" fontId="34" fillId="3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left" vertical="justify"/>
    </xf>
    <xf numFmtId="0" fontId="43" fillId="0" borderId="53" xfId="2" applyFont="1" applyBorder="1" applyAlignment="1">
      <alignment horizontal="left"/>
    </xf>
    <xf numFmtId="0" fontId="41" fillId="0" borderId="1" xfId="7" applyFont="1" applyBorder="1"/>
    <xf numFmtId="0" fontId="37" fillId="0" borderId="5" xfId="0" applyFont="1" applyBorder="1" applyAlignment="1">
      <alignment horizontal="center" vertical="center"/>
    </xf>
    <xf numFmtId="0" fontId="38" fillId="0" borderId="31" xfId="0" applyFont="1" applyBorder="1" applyAlignment="1">
      <alignment vertical="center"/>
    </xf>
    <xf numFmtId="0" fontId="38" fillId="0" borderId="23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40" xfId="0" applyFont="1" applyBorder="1" applyAlignment="1">
      <alignment vertical="center"/>
    </xf>
    <xf numFmtId="0" fontId="44" fillId="0" borderId="0" xfId="0" applyFont="1" applyAlignment="1">
      <alignment horizontal="left"/>
    </xf>
    <xf numFmtId="0" fontId="38" fillId="0" borderId="31" xfId="0" applyFont="1" applyBorder="1"/>
    <xf numFmtId="0" fontId="38" fillId="0" borderId="29" xfId="0" applyFont="1" applyBorder="1" applyAlignment="1">
      <alignment vertical="center"/>
    </xf>
    <xf numFmtId="0" fontId="38" fillId="0" borderId="5" xfId="0" applyFont="1" applyBorder="1" applyAlignment="1">
      <alignment horizontal="center" vertical="center"/>
    </xf>
    <xf numFmtId="0" fontId="37" fillId="7" borderId="31" xfId="0" applyFont="1" applyFill="1" applyBorder="1" applyAlignment="1">
      <alignment vertical="center"/>
    </xf>
    <xf numFmtId="43" fontId="38" fillId="0" borderId="0" xfId="7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8" fillId="0" borderId="1" xfId="310" applyFont="1" applyBorder="1" applyAlignment="1">
      <alignment horizontal="center"/>
    </xf>
    <xf numFmtId="0" fontId="41" fillId="0" borderId="32" xfId="310" applyFont="1" applyBorder="1"/>
    <xf numFmtId="0" fontId="38" fillId="0" borderId="0" xfId="310" applyFont="1" applyAlignment="1">
      <alignment horizontal="left"/>
    </xf>
    <xf numFmtId="0" fontId="38" fillId="0" borderId="57" xfId="0" applyFont="1" applyBorder="1" applyAlignment="1">
      <alignment horizontal="center" vertical="center"/>
    </xf>
    <xf numFmtId="0" fontId="38" fillId="0" borderId="58" xfId="0" applyFont="1" applyBorder="1" applyAlignment="1">
      <alignment vertical="center"/>
    </xf>
    <xf numFmtId="0" fontId="38" fillId="0" borderId="50" xfId="310" applyFont="1" applyBorder="1" applyAlignment="1">
      <alignment horizontal="center"/>
    </xf>
    <xf numFmtId="0" fontId="41" fillId="0" borderId="42" xfId="310" applyFont="1" applyBorder="1"/>
    <xf numFmtId="0" fontId="38" fillId="0" borderId="31" xfId="310" applyFont="1" applyBorder="1" applyAlignment="1">
      <alignment horizontal="center"/>
    </xf>
    <xf numFmtId="43" fontId="37" fillId="8" borderId="33" xfId="9" applyFont="1" applyFill="1" applyBorder="1" applyAlignment="1">
      <alignment horizontal="center" wrapText="1"/>
    </xf>
    <xf numFmtId="0" fontId="37" fillId="8" borderId="33" xfId="7" applyFont="1" applyFill="1" applyBorder="1" applyAlignment="1">
      <alignment horizontal="center" wrapText="1"/>
    </xf>
    <xf numFmtId="43" fontId="37" fillId="8" borderId="36" xfId="9" applyFont="1" applyFill="1" applyBorder="1" applyAlignment="1">
      <alignment horizontal="center" wrapText="1"/>
    </xf>
    <xf numFmtId="43" fontId="37" fillId="8" borderId="34" xfId="9" applyFont="1" applyFill="1" applyBorder="1" applyAlignment="1">
      <alignment horizontal="center" wrapText="1"/>
    </xf>
    <xf numFmtId="43" fontId="37" fillId="8" borderId="37" xfId="9" applyFont="1" applyFill="1" applyBorder="1" applyAlignment="1">
      <alignment horizontal="center" wrapText="1"/>
    </xf>
    <xf numFmtId="43" fontId="38" fillId="0" borderId="0" xfId="1" applyFont="1"/>
    <xf numFmtId="43" fontId="38" fillId="8" borderId="22" xfId="9" applyFont="1" applyFill="1" applyBorder="1"/>
    <xf numFmtId="43" fontId="38" fillId="8" borderId="23" xfId="9" applyFont="1" applyFill="1" applyBorder="1"/>
    <xf numFmtId="43" fontId="38" fillId="8" borderId="20" xfId="9" applyFont="1" applyFill="1" applyBorder="1"/>
    <xf numFmtId="43" fontId="38" fillId="8" borderId="41" xfId="9" applyFont="1" applyFill="1" applyBorder="1"/>
    <xf numFmtId="43" fontId="37" fillId="8" borderId="21" xfId="9" applyFont="1" applyFill="1" applyBorder="1"/>
    <xf numFmtId="43" fontId="38" fillId="8" borderId="23" xfId="312" applyFont="1" applyFill="1" applyBorder="1"/>
    <xf numFmtId="43" fontId="38" fillId="8" borderId="41" xfId="312" applyFont="1" applyFill="1" applyBorder="1"/>
    <xf numFmtId="43" fontId="38" fillId="8" borderId="21" xfId="312" applyFont="1" applyFill="1" applyBorder="1"/>
    <xf numFmtId="43" fontId="37" fillId="8" borderId="21" xfId="312" applyFont="1" applyFill="1" applyBorder="1"/>
    <xf numFmtId="0" fontId="38" fillId="9" borderId="0" xfId="7" applyFont="1" applyFill="1"/>
    <xf numFmtId="0" fontId="37" fillId="2" borderId="31" xfId="0" applyFont="1" applyFill="1" applyBorder="1" applyAlignment="1">
      <alignment vertical="center"/>
    </xf>
    <xf numFmtId="0" fontId="37" fillId="3" borderId="1" xfId="0" applyFont="1" applyFill="1" applyBorder="1" applyAlignment="1">
      <alignment horizontal="right" vertical="top" indent="1"/>
    </xf>
    <xf numFmtId="43" fontId="38" fillId="8" borderId="32" xfId="9" applyFont="1" applyFill="1" applyBorder="1"/>
    <xf numFmtId="43" fontId="38" fillId="8" borderId="43" xfId="9" applyFont="1" applyFill="1" applyBorder="1"/>
    <xf numFmtId="43" fontId="38" fillId="8" borderId="42" xfId="9" applyFont="1" applyFill="1" applyBorder="1"/>
    <xf numFmtId="43" fontId="38" fillId="8" borderId="21" xfId="9" applyFont="1" applyFill="1" applyBorder="1"/>
    <xf numFmtId="43" fontId="38" fillId="8" borderId="32" xfId="312" applyFont="1" applyFill="1" applyBorder="1"/>
    <xf numFmtId="43" fontId="38" fillId="8" borderId="42" xfId="312" applyFont="1" applyFill="1" applyBorder="1"/>
    <xf numFmtId="43" fontId="38" fillId="8" borderId="30" xfId="312" applyFont="1" applyFill="1" applyBorder="1"/>
    <xf numFmtId="43" fontId="38" fillId="8" borderId="30" xfId="9" applyFont="1" applyFill="1" applyBorder="1"/>
    <xf numFmtId="43" fontId="38" fillId="2" borderId="22" xfId="8" applyFont="1" applyFill="1" applyBorder="1"/>
    <xf numFmtId="0" fontId="38" fillId="2" borderId="22" xfId="7" applyFont="1" applyFill="1" applyBorder="1" applyAlignment="1">
      <alignment horizontal="center"/>
    </xf>
    <xf numFmtId="43" fontId="38" fillId="2" borderId="23" xfId="8" applyFont="1" applyFill="1" applyBorder="1"/>
    <xf numFmtId="0" fontId="38" fillId="2" borderId="23" xfId="7" applyFont="1" applyFill="1" applyBorder="1" applyAlignment="1">
      <alignment horizontal="center"/>
    </xf>
    <xf numFmtId="43" fontId="38" fillId="2" borderId="23" xfId="1" applyFont="1" applyFill="1" applyBorder="1"/>
    <xf numFmtId="0" fontId="38" fillId="2" borderId="23" xfId="0" applyFont="1" applyFill="1" applyBorder="1" applyAlignment="1">
      <alignment horizontal="center" vertical="center"/>
    </xf>
    <xf numFmtId="43" fontId="38" fillId="2" borderId="23" xfId="1" applyFont="1" applyFill="1" applyBorder="1" applyAlignment="1">
      <alignment horizontal="center"/>
    </xf>
    <xf numFmtId="167" fontId="38" fillId="2" borderId="23" xfId="5" applyNumberFormat="1" applyFont="1" applyFill="1" applyBorder="1" applyAlignment="1">
      <alignment horizontal="center" vertical="center"/>
    </xf>
    <xf numFmtId="43" fontId="38" fillId="2" borderId="20" xfId="1" applyFont="1" applyFill="1" applyBorder="1" applyAlignment="1">
      <alignment horizontal="center"/>
    </xf>
    <xf numFmtId="167" fontId="38" fillId="2" borderId="20" xfId="5" applyNumberFormat="1" applyFont="1" applyFill="1" applyBorder="1" applyAlignment="1">
      <alignment horizontal="center" vertical="center"/>
    </xf>
    <xf numFmtId="43" fontId="38" fillId="2" borderId="41" xfId="1" applyFont="1" applyFill="1" applyBorder="1" applyAlignment="1">
      <alignment vertical="center"/>
    </xf>
    <xf numFmtId="0" fontId="38" fillId="2" borderId="41" xfId="0" applyFont="1" applyFill="1" applyBorder="1" applyAlignment="1">
      <alignment horizontal="center" vertical="center"/>
    </xf>
    <xf numFmtId="43" fontId="38" fillId="2" borderId="21" xfId="8" applyFont="1" applyFill="1" applyBorder="1"/>
    <xf numFmtId="0" fontId="38" fillId="2" borderId="21" xfId="7" applyFont="1" applyFill="1" applyBorder="1" applyAlignment="1">
      <alignment horizontal="center"/>
    </xf>
    <xf numFmtId="43" fontId="38" fillId="2" borderId="23" xfId="312" applyFont="1" applyFill="1" applyBorder="1"/>
    <xf numFmtId="0" fontId="38" fillId="2" borderId="23" xfId="310" applyFont="1" applyFill="1" applyBorder="1" applyAlignment="1">
      <alignment horizontal="center"/>
    </xf>
    <xf numFmtId="43" fontId="38" fillId="2" borderId="23" xfId="1" applyFont="1" applyFill="1" applyBorder="1" applyAlignment="1">
      <alignment vertical="center"/>
    </xf>
    <xf numFmtId="43" fontId="38" fillId="2" borderId="41" xfId="1" applyFont="1" applyFill="1" applyBorder="1"/>
    <xf numFmtId="43" fontId="38" fillId="2" borderId="21" xfId="1" applyFont="1" applyFill="1" applyBorder="1"/>
    <xf numFmtId="0" fontId="38" fillId="2" borderId="21" xfId="0" applyFont="1" applyFill="1" applyBorder="1" applyAlignment="1">
      <alignment horizontal="center" vertical="center"/>
    </xf>
    <xf numFmtId="43" fontId="38" fillId="2" borderId="21" xfId="312" applyFont="1" applyFill="1" applyBorder="1"/>
    <xf numFmtId="0" fontId="38" fillId="2" borderId="21" xfId="310" applyFont="1" applyFill="1" applyBorder="1" applyAlignment="1">
      <alignment horizontal="center"/>
    </xf>
    <xf numFmtId="43" fontId="38" fillId="2" borderId="20" xfId="1" applyFont="1" applyFill="1" applyBorder="1" applyAlignment="1">
      <alignment vertical="center"/>
    </xf>
    <xf numFmtId="0" fontId="38" fillId="2" borderId="20" xfId="0" applyFont="1" applyFill="1" applyBorder="1" applyAlignment="1">
      <alignment horizontal="center" vertical="center"/>
    </xf>
    <xf numFmtId="43" fontId="38" fillId="2" borderId="21" xfId="1" applyFont="1" applyFill="1" applyBorder="1" applyAlignment="1">
      <alignment vertical="center"/>
    </xf>
    <xf numFmtId="0" fontId="38" fillId="7" borderId="1" xfId="7" applyFont="1" applyFill="1" applyBorder="1" applyAlignment="1">
      <alignment horizontal="center"/>
    </xf>
    <xf numFmtId="0" fontId="37" fillId="7" borderId="32" xfId="7" applyFont="1" applyFill="1" applyBorder="1" applyAlignment="1">
      <alignment horizontal="left" indent="1"/>
    </xf>
    <xf numFmtId="0" fontId="38" fillId="7" borderId="1" xfId="310" applyFont="1" applyFill="1" applyBorder="1" applyAlignment="1">
      <alignment horizontal="center"/>
    </xf>
    <xf numFmtId="0" fontId="41" fillId="7" borderId="32" xfId="310" applyFont="1" applyFill="1" applyBorder="1"/>
    <xf numFmtId="0" fontId="41" fillId="7" borderId="32" xfId="7" applyFont="1" applyFill="1" applyBorder="1"/>
    <xf numFmtId="0" fontId="38" fillId="0" borderId="27" xfId="7" applyFont="1" applyBorder="1"/>
    <xf numFmtId="43" fontId="38" fillId="0" borderId="27" xfId="7" applyNumberFormat="1" applyFont="1" applyBorder="1"/>
    <xf numFmtId="43" fontId="38" fillId="0" borderId="27" xfId="1" applyFont="1" applyBorder="1"/>
    <xf numFmtId="0" fontId="37" fillId="0" borderId="27" xfId="7" applyFont="1" applyBorder="1"/>
    <xf numFmtId="43" fontId="37" fillId="0" borderId="27" xfId="7" applyNumberFormat="1" applyFont="1" applyBorder="1"/>
    <xf numFmtId="43" fontId="37" fillId="0" borderId="27" xfId="1" applyFont="1" applyBorder="1"/>
    <xf numFmtId="49" fontId="38" fillId="2" borderId="21" xfId="1" applyNumberFormat="1" applyFont="1" applyFill="1" applyBorder="1" applyAlignment="1">
      <alignment horizontal="right" vertical="center"/>
    </xf>
    <xf numFmtId="43" fontId="37" fillId="8" borderId="23" xfId="9" applyFont="1" applyFill="1" applyBorder="1"/>
    <xf numFmtId="43" fontId="38" fillId="8" borderId="64" xfId="9" applyFont="1" applyFill="1" applyBorder="1"/>
    <xf numFmtId="43" fontId="37" fillId="8" borderId="64" xfId="9" applyFont="1" applyFill="1" applyBorder="1"/>
    <xf numFmtId="0" fontId="37" fillId="7" borderId="1" xfId="7" applyFont="1" applyFill="1" applyBorder="1" applyAlignment="1">
      <alignment horizontal="center"/>
    </xf>
    <xf numFmtId="0" fontId="39" fillId="7" borderId="32" xfId="7" applyFont="1" applyFill="1" applyBorder="1"/>
    <xf numFmtId="0" fontId="37" fillId="2" borderId="23" xfId="0" applyFont="1" applyFill="1" applyBorder="1" applyAlignment="1">
      <alignment horizontal="center" vertical="center"/>
    </xf>
    <xf numFmtId="43" fontId="47" fillId="3" borderId="16" xfId="128" applyFont="1" applyFill="1" applyBorder="1" applyAlignment="1">
      <alignment vertical="top"/>
    </xf>
    <xf numFmtId="43" fontId="42" fillId="3" borderId="9" xfId="128" applyFont="1" applyFill="1" applyBorder="1" applyAlignment="1">
      <alignment vertical="top"/>
    </xf>
    <xf numFmtId="43" fontId="42" fillId="3" borderId="13" xfId="128" applyFont="1" applyFill="1" applyBorder="1" applyAlignment="1">
      <alignment vertical="top"/>
    </xf>
    <xf numFmtId="43" fontId="47" fillId="3" borderId="11" xfId="128" applyFont="1" applyFill="1" applyBorder="1" applyAlignment="1">
      <alignment vertical="center"/>
    </xf>
    <xf numFmtId="43" fontId="48" fillId="0" borderId="15" xfId="3" applyFont="1" applyFill="1" applyBorder="1"/>
    <xf numFmtId="185" fontId="5" fillId="3" borderId="65" xfId="546" applyNumberFormat="1" applyFont="1" applyFill="1" applyBorder="1"/>
    <xf numFmtId="185" fontId="5" fillId="3" borderId="66" xfId="546" applyNumberFormat="1" applyFont="1" applyFill="1" applyBorder="1"/>
    <xf numFmtId="185" fontId="5" fillId="3" borderId="67" xfId="546" applyNumberFormat="1" applyFont="1" applyFill="1" applyBorder="1"/>
    <xf numFmtId="0" fontId="38" fillId="0" borderId="59" xfId="0" applyFont="1" applyBorder="1" applyAlignment="1">
      <alignment vertical="center"/>
    </xf>
    <xf numFmtId="0" fontId="38" fillId="2" borderId="22" xfId="0" applyFont="1" applyFill="1" applyBorder="1" applyAlignment="1">
      <alignment horizontal="center" vertical="center"/>
    </xf>
    <xf numFmtId="43" fontId="38" fillId="8" borderId="21" xfId="1" applyFont="1" applyFill="1" applyBorder="1"/>
    <xf numFmtId="0" fontId="38" fillId="0" borderId="68" xfId="0" applyFont="1" applyBorder="1" applyAlignment="1">
      <alignment horizontal="center" vertical="center"/>
    </xf>
    <xf numFmtId="0" fontId="38" fillId="0" borderId="69" xfId="310" applyFont="1" applyBorder="1" applyAlignment="1">
      <alignment horizontal="center"/>
    </xf>
    <xf numFmtId="0" fontId="41" fillId="0" borderId="43" xfId="310" applyFont="1" applyBorder="1"/>
    <xf numFmtId="43" fontId="38" fillId="8" borderId="43" xfId="312" applyFont="1" applyFill="1" applyBorder="1"/>
    <xf numFmtId="43" fontId="38" fillId="8" borderId="20" xfId="312" applyFont="1" applyFill="1" applyBorder="1"/>
    <xf numFmtId="43" fontId="38" fillId="0" borderId="61" xfId="7" applyNumberFormat="1" applyFont="1" applyBorder="1"/>
    <xf numFmtId="43" fontId="38" fillId="0" borderId="61" xfId="1" applyFont="1" applyBorder="1"/>
    <xf numFmtId="0" fontId="38" fillId="8" borderId="70" xfId="0" applyFont="1" applyFill="1" applyBorder="1" applyAlignment="1">
      <alignment horizontal="center" vertical="center"/>
    </xf>
    <xf numFmtId="0" fontId="37" fillId="8" borderId="34" xfId="0" applyFont="1" applyFill="1" applyBorder="1" applyAlignment="1">
      <alignment vertical="center"/>
    </xf>
    <xf numFmtId="0" fontId="38" fillId="8" borderId="10" xfId="310" applyFont="1" applyFill="1" applyBorder="1" applyAlignment="1">
      <alignment horizontal="center"/>
    </xf>
    <xf numFmtId="0" fontId="41" fillId="8" borderId="71" xfId="310" applyFont="1" applyFill="1" applyBorder="1"/>
    <xf numFmtId="43" fontId="38" fillId="8" borderId="72" xfId="1" applyFont="1" applyFill="1" applyBorder="1"/>
    <xf numFmtId="0" fontId="38" fillId="8" borderId="72" xfId="0" applyFont="1" applyFill="1" applyBorder="1" applyAlignment="1">
      <alignment horizontal="center" vertical="center"/>
    </xf>
    <xf numFmtId="43" fontId="38" fillId="8" borderId="71" xfId="312" applyFont="1" applyFill="1" applyBorder="1"/>
    <xf numFmtId="43" fontId="38" fillId="8" borderId="72" xfId="312" applyFont="1" applyFill="1" applyBorder="1"/>
    <xf numFmtId="43" fontId="37" fillId="8" borderId="72" xfId="312" applyFont="1" applyFill="1" applyBorder="1"/>
    <xf numFmtId="0" fontId="38" fillId="8" borderId="7" xfId="7" applyFont="1" applyFill="1" applyBorder="1"/>
    <xf numFmtId="0" fontId="37" fillId="8" borderId="73" xfId="7" applyFont="1" applyFill="1" applyBorder="1"/>
    <xf numFmtId="43" fontId="37" fillId="8" borderId="73" xfId="7" applyNumberFormat="1" applyFont="1" applyFill="1" applyBorder="1"/>
    <xf numFmtId="0" fontId="38" fillId="0" borderId="69" xfId="7" applyFont="1" applyBorder="1" applyAlignment="1">
      <alignment horizontal="center"/>
    </xf>
    <xf numFmtId="0" fontId="41" fillId="0" borderId="69" xfId="7" applyFont="1" applyBorder="1"/>
    <xf numFmtId="43" fontId="38" fillId="8" borderId="72" xfId="9" applyFont="1" applyFill="1" applyBorder="1"/>
    <xf numFmtId="43" fontId="37" fillId="8" borderId="72" xfId="9" applyFont="1" applyFill="1" applyBorder="1"/>
    <xf numFmtId="0" fontId="38" fillId="8" borderId="72" xfId="7" applyFont="1" applyFill="1" applyBorder="1" applyAlignment="1">
      <alignment horizontal="center"/>
    </xf>
    <xf numFmtId="0" fontId="38" fillId="8" borderId="74" xfId="7" applyFont="1" applyFill="1" applyBorder="1" applyAlignment="1">
      <alignment horizontal="center"/>
    </xf>
    <xf numFmtId="0" fontId="38" fillId="8" borderId="10" xfId="7" applyFont="1" applyFill="1" applyBorder="1" applyAlignment="1">
      <alignment horizontal="center"/>
    </xf>
    <xf numFmtId="0" fontId="41" fillId="8" borderId="71" xfId="7" applyFont="1" applyFill="1" applyBorder="1"/>
    <xf numFmtId="43" fontId="38" fillId="8" borderId="72" xfId="8" applyFont="1" applyFill="1" applyBorder="1"/>
    <xf numFmtId="186" fontId="37" fillId="8" borderId="0" xfId="7" applyNumberFormat="1" applyFont="1" applyFill="1"/>
    <xf numFmtId="0" fontId="37" fillId="0" borderId="0" xfId="7" applyFont="1" applyAlignment="1">
      <alignment horizontal="center"/>
    </xf>
    <xf numFmtId="0" fontId="37" fillId="0" borderId="63" xfId="7" applyFont="1" applyBorder="1"/>
    <xf numFmtId="186" fontId="49" fillId="0" borderId="75" xfId="7" applyNumberFormat="1" applyFont="1" applyBorder="1"/>
    <xf numFmtId="10" fontId="38" fillId="0" borderId="0" xfId="546" applyNumberFormat="1" applyFont="1"/>
    <xf numFmtId="10" fontId="37" fillId="0" borderId="0" xfId="546" applyNumberFormat="1" applyFont="1"/>
    <xf numFmtId="10" fontId="42" fillId="0" borderId="0" xfId="546" applyNumberFormat="1" applyFont="1"/>
    <xf numFmtId="10" fontId="37" fillId="0" borderId="0" xfId="546" applyNumberFormat="1" applyFont="1" applyAlignment="1">
      <alignment vertical="center"/>
    </xf>
    <xf numFmtId="10" fontId="38" fillId="0" borderId="0" xfId="546" applyNumberFormat="1" applyFont="1" applyFill="1"/>
    <xf numFmtId="0" fontId="50" fillId="0" borderId="1" xfId="7" applyFont="1" applyBorder="1" applyAlignment="1">
      <alignment horizontal="right"/>
    </xf>
    <xf numFmtId="10" fontId="37" fillId="8" borderId="0" xfId="7" applyNumberFormat="1" applyFont="1" applyFill="1"/>
    <xf numFmtId="165" fontId="37" fillId="8" borderId="0" xfId="1" applyNumberFormat="1" applyFont="1" applyFill="1"/>
    <xf numFmtId="10" fontId="38" fillId="0" borderId="0" xfId="546" applyNumberFormat="1" applyFont="1" applyAlignment="1">
      <alignment horizontal="center"/>
    </xf>
    <xf numFmtId="43" fontId="38" fillId="0" borderId="22" xfId="9" applyFont="1" applyFill="1" applyBorder="1"/>
    <xf numFmtId="43" fontId="38" fillId="0" borderId="23" xfId="9" applyFont="1" applyFill="1" applyBorder="1"/>
    <xf numFmtId="43" fontId="38" fillId="0" borderId="32" xfId="9" applyFont="1" applyFill="1" applyBorder="1"/>
    <xf numFmtId="43" fontId="38" fillId="0" borderId="43" xfId="9" applyFont="1" applyFill="1" applyBorder="1"/>
    <xf numFmtId="43" fontId="38" fillId="0" borderId="20" xfId="9" applyFont="1" applyFill="1" applyBorder="1"/>
    <xf numFmtId="43" fontId="38" fillId="0" borderId="32" xfId="312" applyFont="1" applyFill="1" applyBorder="1"/>
    <xf numFmtId="43" fontId="38" fillId="0" borderId="23" xfId="312" applyFont="1" applyFill="1" applyBorder="1"/>
    <xf numFmtId="43" fontId="38" fillId="0" borderId="43" xfId="312" applyFont="1" applyFill="1" applyBorder="1"/>
    <xf numFmtId="43" fontId="38" fillId="0" borderId="20" xfId="312" applyFont="1" applyFill="1" applyBorder="1"/>
    <xf numFmtId="0" fontId="38" fillId="0" borderId="60" xfId="7" applyFont="1" applyBorder="1" applyAlignment="1">
      <alignment horizontal="center"/>
    </xf>
    <xf numFmtId="0" fontId="41" fillId="0" borderId="30" xfId="7" applyFont="1" applyBorder="1"/>
    <xf numFmtId="0" fontId="36" fillId="0" borderId="82" xfId="0" applyFont="1" applyBorder="1" applyAlignment="1">
      <alignment horizontal="center" vertical="center"/>
    </xf>
    <xf numFmtId="0" fontId="38" fillId="0" borderId="83" xfId="9" applyNumberFormat="1" applyFont="1" applyFill="1" applyBorder="1" applyAlignment="1">
      <alignment horizontal="left" indent="1"/>
    </xf>
    <xf numFmtId="43" fontId="38" fillId="2" borderId="84" xfId="8" applyFont="1" applyFill="1" applyBorder="1"/>
    <xf numFmtId="0" fontId="38" fillId="2" borderId="84" xfId="7" applyFont="1" applyFill="1" applyBorder="1" applyAlignment="1">
      <alignment horizontal="center"/>
    </xf>
    <xf numFmtId="43" fontId="38" fillId="0" borderId="84" xfId="9" applyFont="1" applyFill="1" applyBorder="1"/>
    <xf numFmtId="43" fontId="38" fillId="0" borderId="85" xfId="9" applyFont="1" applyFill="1" applyBorder="1"/>
    <xf numFmtId="43" fontId="38" fillId="0" borderId="87" xfId="9" applyFont="1" applyFill="1" applyBorder="1"/>
    <xf numFmtId="0" fontId="38" fillId="0" borderId="86" xfId="0" applyFont="1" applyBorder="1" applyAlignment="1">
      <alignment horizontal="center" vertical="center"/>
    </xf>
    <xf numFmtId="0" fontId="38" fillId="0" borderId="88" xfId="0" applyFont="1" applyBorder="1" applyAlignment="1">
      <alignment horizontal="center" vertical="center"/>
    </xf>
    <xf numFmtId="43" fontId="38" fillId="0" borderId="89" xfId="9" applyFont="1" applyFill="1" applyBorder="1"/>
    <xf numFmtId="0" fontId="38" fillId="8" borderId="90" xfId="7" applyFont="1" applyFill="1" applyBorder="1" applyAlignment="1">
      <alignment horizontal="center"/>
    </xf>
    <xf numFmtId="0" fontId="38" fillId="8" borderId="91" xfId="7" applyFont="1" applyFill="1" applyBorder="1" applyAlignment="1">
      <alignment horizontal="center"/>
    </xf>
    <xf numFmtId="0" fontId="38" fillId="8" borderId="92" xfId="7" applyFont="1" applyFill="1" applyBorder="1" applyAlignment="1">
      <alignment horizontal="center"/>
    </xf>
    <xf numFmtId="0" fontId="41" fillId="8" borderId="93" xfId="7" applyFont="1" applyFill="1" applyBorder="1"/>
    <xf numFmtId="43" fontId="38" fillId="8" borderId="94" xfId="8" applyFont="1" applyFill="1" applyBorder="1"/>
    <xf numFmtId="0" fontId="38" fillId="8" borderId="94" xfId="7" applyFont="1" applyFill="1" applyBorder="1" applyAlignment="1">
      <alignment horizontal="center"/>
    </xf>
    <xf numFmtId="43" fontId="38" fillId="8" borderId="94" xfId="9" applyFont="1" applyFill="1" applyBorder="1"/>
    <xf numFmtId="43" fontId="37" fillId="8" borderId="94" xfId="9" applyFont="1" applyFill="1" applyBorder="1"/>
    <xf numFmtId="43" fontId="37" fillId="8" borderId="95" xfId="9" applyFont="1" applyFill="1" applyBorder="1"/>
    <xf numFmtId="0" fontId="38" fillId="0" borderId="22" xfId="7" applyFont="1" applyBorder="1" applyAlignment="1">
      <alignment horizontal="center"/>
    </xf>
    <xf numFmtId="0" fontId="38" fillId="0" borderId="59" xfId="7" applyFont="1" applyBorder="1" applyAlignment="1">
      <alignment horizontal="center"/>
    </xf>
    <xf numFmtId="0" fontId="41" fillId="0" borderId="24" xfId="7" applyFont="1" applyBorder="1"/>
    <xf numFmtId="43" fontId="38" fillId="0" borderId="87" xfId="312" applyFont="1" applyFill="1" applyBorder="1"/>
    <xf numFmtId="43" fontId="38" fillId="0" borderId="89" xfId="312" applyFont="1" applyFill="1" applyBorder="1"/>
    <xf numFmtId="0" fontId="38" fillId="8" borderId="102" xfId="0" applyFont="1" applyFill="1" applyBorder="1" applyAlignment="1">
      <alignment horizontal="center" vertical="center"/>
    </xf>
    <xf numFmtId="0" fontId="37" fillId="8" borderId="91" xfId="0" applyFont="1" applyFill="1" applyBorder="1" applyAlignment="1">
      <alignment vertical="center"/>
    </xf>
    <xf numFmtId="0" fontId="38" fillId="8" borderId="92" xfId="310" applyFont="1" applyFill="1" applyBorder="1" applyAlignment="1">
      <alignment horizontal="center"/>
    </xf>
    <xf numFmtId="0" fontId="41" fillId="8" borderId="93" xfId="310" applyFont="1" applyFill="1" applyBorder="1"/>
    <xf numFmtId="43" fontId="38" fillId="8" borderId="94" xfId="1" applyFont="1" applyFill="1" applyBorder="1"/>
    <xf numFmtId="0" fontId="38" fillId="8" borderId="94" xfId="0" applyFont="1" applyFill="1" applyBorder="1" applyAlignment="1">
      <alignment horizontal="center" vertical="center"/>
    </xf>
    <xf numFmtId="0" fontId="37" fillId="13" borderId="96" xfId="0" applyFont="1" applyFill="1" applyBorder="1" applyAlignment="1">
      <alignment horizontal="center" vertical="center"/>
    </xf>
    <xf numFmtId="0" fontId="37" fillId="13" borderId="97" xfId="0" applyFont="1" applyFill="1" applyBorder="1" applyAlignment="1">
      <alignment vertical="center"/>
    </xf>
    <xf numFmtId="0" fontId="38" fillId="13" borderId="98" xfId="310" applyFont="1" applyFill="1" applyBorder="1" applyAlignment="1">
      <alignment horizontal="center"/>
    </xf>
    <xf numFmtId="0" fontId="41" fillId="13" borderId="99" xfId="310" applyFont="1" applyFill="1" applyBorder="1"/>
    <xf numFmtId="43" fontId="38" fillId="13" borderId="100" xfId="312" applyFont="1" applyFill="1" applyBorder="1"/>
    <xf numFmtId="43" fontId="38" fillId="13" borderId="99" xfId="312" applyFont="1" applyFill="1" applyBorder="1"/>
    <xf numFmtId="43" fontId="38" fillId="13" borderId="101" xfId="312" applyFont="1" applyFill="1" applyBorder="1"/>
    <xf numFmtId="0" fontId="37" fillId="13" borderId="86" xfId="0" applyFont="1" applyFill="1" applyBorder="1" applyAlignment="1">
      <alignment horizontal="center" vertical="center"/>
    </xf>
    <xf numFmtId="0" fontId="37" fillId="13" borderId="31" xfId="0" applyFont="1" applyFill="1" applyBorder="1" applyAlignment="1">
      <alignment vertical="center"/>
    </xf>
    <xf numFmtId="0" fontId="38" fillId="13" borderId="1" xfId="7" applyFont="1" applyFill="1" applyBorder="1" applyAlignment="1">
      <alignment horizontal="center"/>
    </xf>
    <xf numFmtId="0" fontId="37" fillId="13" borderId="32" xfId="7" applyFont="1" applyFill="1" applyBorder="1" applyAlignment="1">
      <alignment horizontal="left" indent="1"/>
    </xf>
    <xf numFmtId="43" fontId="38" fillId="13" borderId="23" xfId="8" applyFont="1" applyFill="1" applyBorder="1"/>
    <xf numFmtId="0" fontId="38" fillId="13" borderId="23" xfId="7" applyFont="1" applyFill="1" applyBorder="1" applyAlignment="1">
      <alignment horizontal="center"/>
    </xf>
    <xf numFmtId="43" fontId="38" fillId="13" borderId="23" xfId="9" applyFont="1" applyFill="1" applyBorder="1"/>
    <xf numFmtId="43" fontId="38" fillId="13" borderId="87" xfId="9" applyFont="1" applyFill="1" applyBorder="1"/>
    <xf numFmtId="0" fontId="37" fillId="13" borderId="103" xfId="0" applyFont="1" applyFill="1" applyBorder="1" applyAlignment="1">
      <alignment horizontal="center" vertical="center"/>
    </xf>
    <xf numFmtId="0" fontId="37" fillId="13" borderId="104" xfId="0" applyFont="1" applyFill="1" applyBorder="1" applyAlignment="1">
      <alignment vertical="center"/>
    </xf>
    <xf numFmtId="0" fontId="38" fillId="13" borderId="104" xfId="310" applyFont="1" applyFill="1" applyBorder="1" applyAlignment="1">
      <alignment horizontal="center"/>
    </xf>
    <xf numFmtId="0" fontId="41" fillId="13" borderId="104" xfId="310" applyFont="1" applyFill="1" applyBorder="1"/>
    <xf numFmtId="43" fontId="38" fillId="13" borderId="104" xfId="312" applyFont="1" applyFill="1" applyBorder="1"/>
    <xf numFmtId="43" fontId="38" fillId="13" borderId="105" xfId="312" applyFont="1" applyFill="1" applyBorder="1"/>
    <xf numFmtId="0" fontId="38" fillId="0" borderId="106" xfId="0" applyFont="1" applyBorder="1" applyAlignment="1">
      <alignment horizontal="center" vertical="center"/>
    </xf>
    <xf numFmtId="0" fontId="38" fillId="0" borderId="79" xfId="310" applyFont="1" applyBorder="1" applyAlignment="1">
      <alignment horizontal="left"/>
    </xf>
    <xf numFmtId="0" fontId="38" fillId="0" borderId="79" xfId="310" applyFont="1" applyBorder="1" applyAlignment="1">
      <alignment horizontal="center"/>
    </xf>
    <xf numFmtId="0" fontId="41" fillId="0" borderId="79" xfId="310" applyFont="1" applyBorder="1"/>
    <xf numFmtId="43" fontId="38" fillId="2" borderId="79" xfId="1" applyFont="1" applyFill="1" applyBorder="1"/>
    <xf numFmtId="0" fontId="38" fillId="2" borderId="79" xfId="0" applyFont="1" applyFill="1" applyBorder="1" applyAlignment="1">
      <alignment horizontal="center" vertical="center"/>
    </xf>
    <xf numFmtId="43" fontId="38" fillId="0" borderId="79" xfId="312" applyFont="1" applyFill="1" applyBorder="1"/>
    <xf numFmtId="43" fontId="38" fillId="0" borderId="107" xfId="312" applyFont="1" applyFill="1" applyBorder="1"/>
    <xf numFmtId="0" fontId="38" fillId="0" borderId="79" xfId="0" applyFont="1" applyBorder="1" applyAlignment="1">
      <alignment vertical="center"/>
    </xf>
    <xf numFmtId="43" fontId="38" fillId="2" borderId="79" xfId="1" applyFont="1" applyFill="1" applyBorder="1" applyAlignment="1">
      <alignment vertical="center"/>
    </xf>
    <xf numFmtId="0" fontId="38" fillId="0" borderId="108" xfId="0" applyFont="1" applyBorder="1" applyAlignment="1">
      <alignment horizontal="center" vertical="center"/>
    </xf>
    <xf numFmtId="0" fontId="38" fillId="0" borderId="109" xfId="0" applyFont="1" applyBorder="1" applyAlignment="1">
      <alignment vertical="center"/>
    </xf>
    <xf numFmtId="0" fontId="38" fillId="0" borderId="109" xfId="310" applyFont="1" applyBorder="1" applyAlignment="1">
      <alignment horizontal="center"/>
    </xf>
    <xf numFmtId="0" fontId="41" fillId="0" borderId="109" xfId="310" applyFont="1" applyBorder="1"/>
    <xf numFmtId="43" fontId="38" fillId="2" borderId="109" xfId="1" applyFont="1" applyFill="1" applyBorder="1" applyAlignment="1">
      <alignment vertical="center"/>
    </xf>
    <xf numFmtId="0" fontId="38" fillId="2" borderId="109" xfId="0" applyFont="1" applyFill="1" applyBorder="1" applyAlignment="1">
      <alignment horizontal="center" vertical="center"/>
    </xf>
    <xf numFmtId="43" fontId="38" fillId="0" borderId="109" xfId="312" applyFont="1" applyFill="1" applyBorder="1"/>
    <xf numFmtId="43" fontId="38" fillId="0" borderId="110" xfId="312" applyFont="1" applyFill="1" applyBorder="1"/>
    <xf numFmtId="43" fontId="38" fillId="8" borderId="93" xfId="312" applyFont="1" applyFill="1" applyBorder="1"/>
    <xf numFmtId="43" fontId="38" fillId="8" borderId="94" xfId="312" applyFont="1" applyFill="1" applyBorder="1"/>
    <xf numFmtId="43" fontId="37" fillId="8" borderId="95" xfId="312" applyFont="1" applyFill="1" applyBorder="1"/>
    <xf numFmtId="0" fontId="38" fillId="0" borderId="29" xfId="7" applyFont="1" applyBorder="1" applyAlignment="1">
      <alignment horizontal="center"/>
    </xf>
    <xf numFmtId="0" fontId="41" fillId="0" borderId="43" xfId="7" applyFont="1" applyBorder="1"/>
    <xf numFmtId="43" fontId="38" fillId="2" borderId="20" xfId="8" applyFont="1" applyFill="1" applyBorder="1"/>
    <xf numFmtId="0" fontId="38" fillId="2" borderId="20" xfId="7" applyFont="1" applyFill="1" applyBorder="1" applyAlignment="1">
      <alignment horizontal="center"/>
    </xf>
    <xf numFmtId="0" fontId="38" fillId="8" borderId="111" xfId="310" applyFont="1" applyFill="1" applyBorder="1" applyAlignment="1">
      <alignment horizontal="center"/>
    </xf>
    <xf numFmtId="0" fontId="38" fillId="8" borderId="112" xfId="310" applyFont="1" applyFill="1" applyBorder="1" applyAlignment="1">
      <alignment horizontal="center"/>
    </xf>
    <xf numFmtId="0" fontId="38" fillId="8" borderId="113" xfId="310" applyFont="1" applyFill="1" applyBorder="1" applyAlignment="1">
      <alignment horizontal="center"/>
    </xf>
    <xf numFmtId="0" fontId="41" fillId="8" borderId="114" xfId="310" applyFont="1" applyFill="1" applyBorder="1"/>
    <xf numFmtId="43" fontId="38" fillId="8" borderId="115" xfId="312" applyFont="1" applyFill="1" applyBorder="1"/>
    <xf numFmtId="0" fontId="38" fillId="8" borderId="115" xfId="310" applyFont="1" applyFill="1" applyBorder="1" applyAlignment="1">
      <alignment horizontal="center"/>
    </xf>
    <xf numFmtId="43" fontId="38" fillId="8" borderId="114" xfId="312" applyFont="1" applyFill="1" applyBorder="1"/>
    <xf numFmtId="43" fontId="37" fillId="8" borderId="115" xfId="312" applyFont="1" applyFill="1" applyBorder="1"/>
    <xf numFmtId="43" fontId="37" fillId="8" borderId="116" xfId="312" applyFont="1" applyFill="1" applyBorder="1"/>
    <xf numFmtId="43" fontId="38" fillId="0" borderId="24" xfId="9" applyFont="1" applyFill="1" applyBorder="1"/>
    <xf numFmtId="43" fontId="37" fillId="0" borderId="22" xfId="9" applyFont="1" applyFill="1" applyBorder="1"/>
    <xf numFmtId="0" fontId="38" fillId="8" borderId="117" xfId="7" applyFont="1" applyFill="1" applyBorder="1" applyAlignment="1">
      <alignment horizontal="center"/>
    </xf>
    <xf numFmtId="0" fontId="38" fillId="8" borderId="112" xfId="7" applyFont="1" applyFill="1" applyBorder="1" applyAlignment="1">
      <alignment horizontal="center"/>
    </xf>
    <xf numFmtId="0" fontId="38" fillId="8" borderId="113" xfId="7" applyFont="1" applyFill="1" applyBorder="1" applyAlignment="1">
      <alignment horizontal="center"/>
    </xf>
    <xf numFmtId="0" fontId="41" fillId="8" borderId="114" xfId="7" applyFont="1" applyFill="1" applyBorder="1"/>
    <xf numFmtId="43" fontId="38" fillId="8" borderId="115" xfId="8" applyFont="1" applyFill="1" applyBorder="1"/>
    <xf numFmtId="0" fontId="38" fillId="8" borderId="115" xfId="7" applyFont="1" applyFill="1" applyBorder="1" applyAlignment="1">
      <alignment horizontal="center"/>
    </xf>
    <xf numFmtId="43" fontId="38" fillId="8" borderId="114" xfId="9" applyFont="1" applyFill="1" applyBorder="1"/>
    <xf numFmtId="43" fontId="38" fillId="8" borderId="115" xfId="9" applyFont="1" applyFill="1" applyBorder="1"/>
    <xf numFmtId="43" fontId="37" fillId="8" borderId="115" xfId="9" applyFont="1" applyFill="1" applyBorder="1"/>
    <xf numFmtId="43" fontId="37" fillId="8" borderId="116" xfId="9" applyFont="1" applyFill="1" applyBorder="1"/>
    <xf numFmtId="0" fontId="38" fillId="0" borderId="22" xfId="0" applyFont="1" applyBorder="1" applyAlignment="1">
      <alignment horizontal="center" vertical="center"/>
    </xf>
    <xf numFmtId="43" fontId="38" fillId="2" borderId="22" xfId="1" applyFont="1" applyFill="1" applyBorder="1" applyAlignment="1">
      <alignment vertical="center"/>
    </xf>
    <xf numFmtId="0" fontId="38" fillId="0" borderId="119" xfId="0" applyFont="1" applyBorder="1" applyAlignment="1">
      <alignment horizontal="center" vertical="center"/>
    </xf>
    <xf numFmtId="0" fontId="38" fillId="0" borderId="120" xfId="0" applyFont="1" applyBorder="1" applyAlignment="1">
      <alignment horizontal="center" vertical="center"/>
    </xf>
    <xf numFmtId="0" fontId="38" fillId="8" borderId="117" xfId="0" applyFont="1" applyFill="1" applyBorder="1" applyAlignment="1">
      <alignment horizontal="center" vertical="center"/>
    </xf>
    <xf numFmtId="0" fontId="38" fillId="8" borderId="112" xfId="0" applyFont="1" applyFill="1" applyBorder="1" applyAlignment="1">
      <alignment vertical="center"/>
    </xf>
    <xf numFmtId="43" fontId="38" fillId="8" borderId="115" xfId="1" applyFont="1" applyFill="1" applyBorder="1" applyAlignment="1">
      <alignment vertical="center"/>
    </xf>
    <xf numFmtId="0" fontId="38" fillId="8" borderId="115" xfId="0" applyFont="1" applyFill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7" fillId="13" borderId="118" xfId="0" applyFont="1" applyFill="1" applyBorder="1" applyAlignment="1">
      <alignment horizontal="center" vertical="center"/>
    </xf>
    <xf numFmtId="0" fontId="38" fillId="13" borderId="98" xfId="7" applyFont="1" applyFill="1" applyBorder="1" applyAlignment="1">
      <alignment horizontal="center"/>
    </xf>
    <xf numFmtId="0" fontId="41" fillId="13" borderId="99" xfId="7" applyFont="1" applyFill="1" applyBorder="1"/>
    <xf numFmtId="43" fontId="38" fillId="13" borderId="100" xfId="1" applyFont="1" applyFill="1" applyBorder="1" applyAlignment="1">
      <alignment vertical="center"/>
    </xf>
    <xf numFmtId="0" fontId="38" fillId="13" borderId="100" xfId="0" applyFont="1" applyFill="1" applyBorder="1" applyAlignment="1">
      <alignment horizontal="center" vertical="center"/>
    </xf>
    <xf numFmtId="43" fontId="38" fillId="13" borderId="99" xfId="9" applyFont="1" applyFill="1" applyBorder="1"/>
    <xf numFmtId="43" fontId="38" fillId="13" borderId="100" xfId="9" applyFont="1" applyFill="1" applyBorder="1"/>
    <xf numFmtId="43" fontId="38" fillId="13" borderId="101" xfId="9" applyFont="1" applyFill="1" applyBorder="1"/>
    <xf numFmtId="0" fontId="51" fillId="0" borderId="0" xfId="7" applyFont="1"/>
    <xf numFmtId="43" fontId="38" fillId="0" borderId="121" xfId="9" applyFont="1" applyFill="1" applyBorder="1"/>
    <xf numFmtId="43" fontId="38" fillId="13" borderId="100" xfId="8" applyFont="1" applyFill="1" applyBorder="1"/>
    <xf numFmtId="0" fontId="38" fillId="13" borderId="100" xfId="7" applyFont="1" applyFill="1" applyBorder="1" applyAlignment="1">
      <alignment horizontal="center"/>
    </xf>
    <xf numFmtId="43" fontId="37" fillId="10" borderId="80" xfId="9" applyFont="1" applyFill="1" applyBorder="1"/>
    <xf numFmtId="0" fontId="38" fillId="10" borderId="111" xfId="0" applyFont="1" applyFill="1" applyBorder="1" applyAlignment="1">
      <alignment horizontal="center" vertical="center"/>
    </xf>
    <xf numFmtId="0" fontId="38" fillId="10" borderId="113" xfId="0" applyFont="1" applyFill="1" applyBorder="1" applyAlignment="1">
      <alignment vertical="center"/>
    </xf>
    <xf numFmtId="0" fontId="38" fillId="10" borderId="113" xfId="7" applyFont="1" applyFill="1" applyBorder="1" applyAlignment="1">
      <alignment horizontal="center"/>
    </xf>
    <xf numFmtId="0" fontId="41" fillId="10" borderId="113" xfId="7" applyFont="1" applyFill="1" applyBorder="1"/>
    <xf numFmtId="43" fontId="38" fillId="10" borderId="113" xfId="1" applyFont="1" applyFill="1" applyBorder="1" applyAlignment="1">
      <alignment vertical="center"/>
    </xf>
    <xf numFmtId="0" fontId="38" fillId="10" borderId="113" xfId="0" applyFont="1" applyFill="1" applyBorder="1" applyAlignment="1">
      <alignment horizontal="center" vertical="center"/>
    </xf>
    <xf numFmtId="43" fontId="38" fillId="10" borderId="113" xfId="9" applyFont="1" applyFill="1" applyBorder="1"/>
    <xf numFmtId="43" fontId="38" fillId="10" borderId="122" xfId="9" applyFont="1" applyFill="1" applyBorder="1"/>
    <xf numFmtId="0" fontId="38" fillId="10" borderId="111" xfId="7" applyFont="1" applyFill="1" applyBorder="1" applyAlignment="1">
      <alignment horizontal="center"/>
    </xf>
    <xf numFmtId="0" fontId="38" fillId="10" borderId="113" xfId="9" applyNumberFormat="1" applyFont="1" applyFill="1" applyBorder="1" applyAlignment="1">
      <alignment horizontal="left" indent="1"/>
    </xf>
    <xf numFmtId="43" fontId="42" fillId="10" borderId="113" xfId="8" applyFont="1" applyFill="1" applyBorder="1"/>
    <xf numFmtId="9" fontId="37" fillId="10" borderId="80" xfId="546" applyFont="1" applyFill="1" applyBorder="1"/>
    <xf numFmtId="43" fontId="37" fillId="10" borderId="111" xfId="9" applyFont="1" applyFill="1" applyBorder="1"/>
    <xf numFmtId="43" fontId="37" fillId="10" borderId="122" xfId="9" applyFont="1" applyFill="1" applyBorder="1"/>
    <xf numFmtId="0" fontId="38" fillId="16" borderId="111" xfId="7" applyFont="1" applyFill="1" applyBorder="1" applyAlignment="1">
      <alignment horizontal="center"/>
    </xf>
    <xf numFmtId="0" fontId="38" fillId="16" borderId="113" xfId="7" applyFont="1" applyFill="1" applyBorder="1" applyAlignment="1">
      <alignment horizontal="center"/>
    </xf>
    <xf numFmtId="0" fontId="38" fillId="16" borderId="113" xfId="9" applyNumberFormat="1" applyFont="1" applyFill="1" applyBorder="1" applyAlignment="1">
      <alignment horizontal="left" indent="1"/>
    </xf>
    <xf numFmtId="43" fontId="42" fillId="16" borderId="113" xfId="8" applyFont="1" applyFill="1" applyBorder="1"/>
    <xf numFmtId="43" fontId="38" fillId="16" borderId="113" xfId="9" applyFont="1" applyFill="1" applyBorder="1"/>
    <xf numFmtId="43" fontId="38" fillId="16" borderId="122" xfId="9" applyFont="1" applyFill="1" applyBorder="1"/>
    <xf numFmtId="43" fontId="37" fillId="16" borderId="111" xfId="9" applyFont="1" applyFill="1" applyBorder="1"/>
    <xf numFmtId="43" fontId="37" fillId="16" borderId="122" xfId="9" applyFont="1" applyFill="1" applyBorder="1"/>
    <xf numFmtId="43" fontId="37" fillId="16" borderId="80" xfId="9" applyFont="1" applyFill="1" applyBorder="1"/>
    <xf numFmtId="10" fontId="38" fillId="16" borderId="80" xfId="546" applyNumberFormat="1" applyFont="1" applyFill="1" applyBorder="1"/>
    <xf numFmtId="166" fontId="38" fillId="0" borderId="0" xfId="7" applyNumberFormat="1" applyFont="1"/>
    <xf numFmtId="10" fontId="38" fillId="0" borderId="27" xfId="7" applyNumberFormat="1" applyFont="1" applyBorder="1"/>
    <xf numFmtId="43" fontId="38" fillId="0" borderId="23" xfId="1" applyFont="1" applyBorder="1" applyAlignment="1">
      <alignment horizontal="center"/>
    </xf>
    <xf numFmtId="43" fontId="38" fillId="0" borderId="31" xfId="1" applyFont="1" applyBorder="1" applyAlignment="1">
      <alignment horizontal="center"/>
    </xf>
    <xf numFmtId="43" fontId="38" fillId="0" borderId="1" xfId="1" applyFont="1" applyBorder="1" applyAlignment="1">
      <alignment horizontal="center"/>
    </xf>
    <xf numFmtId="43" fontId="41" fillId="0" borderId="32" xfId="1" applyFont="1" applyBorder="1"/>
    <xf numFmtId="43" fontId="38" fillId="2" borderId="21" xfId="1" applyFont="1" applyFill="1" applyBorder="1" applyAlignment="1">
      <alignment horizontal="center"/>
    </xf>
    <xf numFmtId="43" fontId="38" fillId="8" borderId="30" xfId="1" applyFont="1" applyFill="1" applyBorder="1"/>
    <xf numFmtId="43" fontId="37" fillId="8" borderId="21" xfId="1" applyFont="1" applyFill="1" applyBorder="1"/>
    <xf numFmtId="43" fontId="38" fillId="0" borderId="23" xfId="1" applyFont="1" applyBorder="1" applyAlignment="1">
      <alignment horizontal="center" vertical="center"/>
    </xf>
    <xf numFmtId="43" fontId="38" fillId="0" borderId="31" xfId="1" applyFont="1" applyBorder="1" applyAlignment="1">
      <alignment vertical="center"/>
    </xf>
    <xf numFmtId="43" fontId="38" fillId="2" borderId="21" xfId="1" applyFont="1" applyFill="1" applyBorder="1" applyAlignment="1">
      <alignment horizontal="center" vertical="center"/>
    </xf>
    <xf numFmtId="43" fontId="38" fillId="2" borderId="41" xfId="1" applyFont="1" applyFill="1" applyBorder="1" applyAlignment="1">
      <alignment horizontal="center" vertical="center"/>
    </xf>
    <xf numFmtId="43" fontId="38" fillId="8" borderId="42" xfId="1" applyFont="1" applyFill="1" applyBorder="1"/>
    <xf numFmtId="43" fontId="38" fillId="8" borderId="41" xfId="1" applyFont="1" applyFill="1" applyBorder="1"/>
    <xf numFmtId="43" fontId="38" fillId="2" borderId="23" xfId="1" applyFont="1" applyFill="1" applyBorder="1" applyAlignment="1">
      <alignment horizontal="center" vertical="center"/>
    </xf>
    <xf numFmtId="43" fontId="38" fillId="8" borderId="32" xfId="1" applyFont="1" applyFill="1" applyBorder="1"/>
    <xf numFmtId="43" fontId="38" fillId="8" borderId="23" xfId="1" applyFont="1" applyFill="1" applyBorder="1"/>
    <xf numFmtId="10" fontId="38" fillId="0" borderId="0" xfId="546" applyNumberFormat="1" applyFont="1" applyFill="1" applyBorder="1"/>
    <xf numFmtId="187" fontId="37" fillId="0" borderId="0" xfId="7" applyNumberFormat="1" applyFont="1" applyAlignment="1">
      <alignment horizontal="center"/>
    </xf>
    <xf numFmtId="0" fontId="49" fillId="0" borderId="0" xfId="7" applyFont="1"/>
    <xf numFmtId="0" fontId="38" fillId="0" borderId="123" xfId="7" applyFont="1" applyBorder="1"/>
    <xf numFmtId="10" fontId="38" fillId="0" borderId="123" xfId="546" applyNumberFormat="1" applyFont="1" applyFill="1" applyBorder="1"/>
    <xf numFmtId="43" fontId="38" fillId="0" borderId="123" xfId="1" applyFont="1" applyFill="1" applyBorder="1"/>
    <xf numFmtId="0" fontId="38" fillId="0" borderId="76" xfId="7" applyFont="1" applyBorder="1" applyAlignment="1">
      <alignment horizontal="center"/>
    </xf>
    <xf numFmtId="0" fontId="38" fillId="0" borderId="26" xfId="7" applyFont="1" applyBorder="1" applyAlignment="1">
      <alignment horizontal="center"/>
    </xf>
    <xf numFmtId="0" fontId="38" fillId="0" borderId="77" xfId="7" applyFont="1" applyBorder="1" applyAlignment="1">
      <alignment horizontal="center"/>
    </xf>
    <xf numFmtId="10" fontId="38" fillId="7" borderId="27" xfId="546" applyNumberFormat="1" applyFont="1" applyFill="1" applyBorder="1" applyAlignment="1">
      <alignment horizontal="center"/>
    </xf>
    <xf numFmtId="10" fontId="38" fillId="0" borderId="76" xfId="546" applyNumberFormat="1" applyFont="1" applyBorder="1" applyAlignment="1">
      <alignment horizontal="center"/>
    </xf>
    <xf numFmtId="10" fontId="38" fillId="0" borderId="26" xfId="546" applyNumberFormat="1" applyFont="1" applyBorder="1" applyAlignment="1">
      <alignment horizontal="center"/>
    </xf>
    <xf numFmtId="10" fontId="38" fillId="0" borderId="77" xfId="546" applyNumberFormat="1" applyFont="1" applyBorder="1" applyAlignment="1">
      <alignment horizontal="center"/>
    </xf>
    <xf numFmtId="10" fontId="38" fillId="0" borderId="0" xfId="7" applyNumberFormat="1" applyFont="1"/>
    <xf numFmtId="43" fontId="38" fillId="0" borderId="0" xfId="1" applyFont="1" applyBorder="1"/>
    <xf numFmtId="43" fontId="35" fillId="2" borderId="80" xfId="1" applyFont="1" applyFill="1" applyBorder="1" applyAlignment="1">
      <alignment vertical="center"/>
    </xf>
    <xf numFmtId="0" fontId="35" fillId="2" borderId="80" xfId="0" applyFont="1" applyFill="1" applyBorder="1" applyAlignment="1">
      <alignment horizontal="center" vertical="center"/>
    </xf>
    <xf numFmtId="10" fontId="51" fillId="0" borderId="0" xfId="7" applyNumberFormat="1" applyFont="1"/>
    <xf numFmtId="43" fontId="35" fillId="8" borderId="80" xfId="9" applyFont="1" applyFill="1" applyBorder="1" applyAlignment="1">
      <alignment vertical="center"/>
    </xf>
    <xf numFmtId="0" fontId="35" fillId="0" borderId="80" xfId="7" applyFont="1" applyBorder="1" applyAlignment="1">
      <alignment vertical="center"/>
    </xf>
    <xf numFmtId="0" fontId="36" fillId="0" borderId="80" xfId="7" applyFont="1" applyBorder="1" applyAlignment="1">
      <alignment vertical="center"/>
    </xf>
    <xf numFmtId="43" fontId="36" fillId="0" borderId="80" xfId="7" applyNumberFormat="1" applyFont="1" applyBorder="1" applyAlignment="1">
      <alignment vertical="center"/>
    </xf>
    <xf numFmtId="0" fontId="35" fillId="0" borderId="0" xfId="7" applyFont="1" applyAlignment="1">
      <alignment vertical="center"/>
    </xf>
    <xf numFmtId="10" fontId="35" fillId="0" borderId="0" xfId="7" applyNumberFormat="1" applyFont="1" applyAlignment="1">
      <alignment vertical="center"/>
    </xf>
    <xf numFmtId="43" fontId="35" fillId="0" borderId="0" xfId="1" applyFont="1" applyAlignment="1">
      <alignment vertical="center"/>
    </xf>
    <xf numFmtId="0" fontId="38" fillId="0" borderId="21" xfId="0" applyFont="1" applyBorder="1" applyAlignment="1">
      <alignment horizontal="center"/>
    </xf>
    <xf numFmtId="0" fontId="38" fillId="0" borderId="81" xfId="0" applyFont="1" applyBorder="1"/>
    <xf numFmtId="43" fontId="38" fillId="2" borderId="21" xfId="1" applyFont="1" applyFill="1" applyBorder="1" applyAlignment="1"/>
    <xf numFmtId="0" fontId="38" fillId="2" borderId="21" xfId="0" applyFont="1" applyFill="1" applyBorder="1" applyAlignment="1">
      <alignment horizontal="center"/>
    </xf>
    <xf numFmtId="43" fontId="38" fillId="8" borderId="30" xfId="9" applyFont="1" applyFill="1" applyBorder="1" applyAlignment="1"/>
    <xf numFmtId="43" fontId="38" fillId="8" borderId="21" xfId="9" applyFont="1" applyFill="1" applyBorder="1" applyAlignment="1"/>
    <xf numFmtId="43" fontId="37" fillId="8" borderId="21" xfId="9" applyFont="1" applyFill="1" applyBorder="1" applyAlignment="1"/>
    <xf numFmtId="10" fontId="38" fillId="10" borderId="27" xfId="7" applyNumberFormat="1" applyFont="1" applyFill="1" applyBorder="1" applyAlignment="1">
      <alignment horizontal="center"/>
    </xf>
    <xf numFmtId="10" fontId="38" fillId="14" borderId="61" xfId="546" applyNumberFormat="1" applyFont="1" applyFill="1" applyBorder="1" applyAlignment="1">
      <alignment horizontal="center"/>
    </xf>
    <xf numFmtId="10" fontId="38" fillId="0" borderId="124" xfId="546" applyNumberFormat="1" applyFont="1" applyBorder="1" applyAlignment="1">
      <alignment horizontal="center"/>
    </xf>
    <xf numFmtId="10" fontId="38" fillId="0" borderId="125" xfId="546" applyNumberFormat="1" applyFont="1" applyBorder="1" applyAlignment="1">
      <alignment horizontal="center"/>
    </xf>
    <xf numFmtId="10" fontId="38" fillId="0" borderId="126" xfId="546" applyNumberFormat="1" applyFont="1" applyBorder="1" applyAlignment="1">
      <alignment horizontal="center"/>
    </xf>
    <xf numFmtId="10" fontId="38" fillId="8" borderId="27" xfId="546" applyNumberFormat="1" applyFont="1" applyFill="1" applyBorder="1" applyAlignment="1">
      <alignment horizontal="center"/>
    </xf>
    <xf numFmtId="10" fontId="38" fillId="10" borderId="27" xfId="546" applyNumberFormat="1" applyFont="1" applyFill="1" applyBorder="1" applyAlignment="1">
      <alignment horizontal="center"/>
    </xf>
    <xf numFmtId="10" fontId="38" fillId="13" borderId="27" xfId="546" applyNumberFormat="1" applyFont="1" applyFill="1" applyBorder="1" applyAlignment="1">
      <alignment horizontal="center"/>
    </xf>
    <xf numFmtId="0" fontId="49" fillId="0" borderId="0" xfId="7" applyFont="1" applyAlignment="1">
      <alignment horizontal="center"/>
    </xf>
    <xf numFmtId="0" fontId="38" fillId="0" borderId="78" xfId="7" applyFont="1" applyBorder="1" applyAlignment="1">
      <alignment horizontal="center"/>
    </xf>
    <xf numFmtId="0" fontId="38" fillId="0" borderId="79" xfId="7" applyFont="1" applyBorder="1" applyAlignment="1">
      <alignment horizontal="center"/>
    </xf>
    <xf numFmtId="10" fontId="38" fillId="8" borderId="79" xfId="7" applyNumberFormat="1" applyFont="1" applyFill="1" applyBorder="1" applyAlignment="1">
      <alignment horizontal="center"/>
    </xf>
    <xf numFmtId="10" fontId="38" fillId="8" borderId="79" xfId="546" applyNumberFormat="1" applyFont="1" applyFill="1" applyBorder="1" applyAlignment="1">
      <alignment horizontal="center"/>
    </xf>
    <xf numFmtId="10" fontId="38" fillId="0" borderId="79" xfId="546" applyNumberFormat="1" applyFont="1" applyFill="1" applyBorder="1" applyAlignment="1">
      <alignment horizontal="center"/>
    </xf>
    <xf numFmtId="10" fontId="38" fillId="0" borderId="79" xfId="7" applyNumberFormat="1" applyFont="1" applyBorder="1" applyAlignment="1">
      <alignment horizontal="center"/>
    </xf>
    <xf numFmtId="43" fontId="38" fillId="0" borderId="79" xfId="1" applyFont="1" applyBorder="1" applyAlignment="1">
      <alignment horizontal="center"/>
    </xf>
    <xf numFmtId="10" fontId="38" fillId="8" borderId="0" xfId="546" applyNumberFormat="1" applyFont="1" applyFill="1" applyBorder="1" applyAlignment="1">
      <alignment horizontal="center"/>
    </xf>
    <xf numFmtId="10" fontId="35" fillId="0" borderId="80" xfId="546" applyNumberFormat="1" applyFont="1" applyBorder="1" applyAlignment="1">
      <alignment horizontal="center" vertical="center"/>
    </xf>
    <xf numFmtId="10" fontId="35" fillId="0" borderId="80" xfId="7" applyNumberFormat="1" applyFont="1" applyBorder="1" applyAlignment="1">
      <alignment horizontal="center" vertical="center"/>
    </xf>
    <xf numFmtId="165" fontId="38" fillId="0" borderId="0" xfId="7" applyNumberFormat="1" applyFont="1" applyAlignment="1">
      <alignment horizontal="center"/>
    </xf>
    <xf numFmtId="0" fontId="42" fillId="0" borderId="0" xfId="16" applyFont="1" applyAlignment="1">
      <alignment horizontal="center"/>
    </xf>
    <xf numFmtId="0" fontId="37" fillId="0" borderId="0" xfId="7" applyFont="1" applyAlignment="1">
      <alignment horizontal="center" vertical="center"/>
    </xf>
    <xf numFmtId="0" fontId="37" fillId="0" borderId="0" xfId="13" applyFont="1" applyAlignment="1">
      <alignment horizontal="center"/>
    </xf>
    <xf numFmtId="43" fontId="38" fillId="0" borderId="0" xfId="9" applyFont="1" applyFill="1" applyAlignment="1">
      <alignment horizontal="center"/>
    </xf>
    <xf numFmtId="0" fontId="44" fillId="0" borderId="0" xfId="0" applyFont="1" applyAlignment="1">
      <alignment vertical="center"/>
    </xf>
    <xf numFmtId="0" fontId="44" fillId="0" borderId="0" xfId="7" applyFont="1"/>
    <xf numFmtId="0" fontId="44" fillId="0" borderId="0" xfId="7" applyFont="1" applyAlignment="1">
      <alignment horizontal="center"/>
    </xf>
    <xf numFmtId="186" fontId="52" fillId="0" borderId="0" xfId="7" applyNumberFormat="1" applyFont="1"/>
    <xf numFmtId="0" fontId="51" fillId="0" borderId="0" xfId="7" applyFont="1" applyAlignment="1">
      <alignment horizontal="center"/>
    </xf>
    <xf numFmtId="10" fontId="44" fillId="8" borderId="0" xfId="7" applyNumberFormat="1" applyFont="1" applyFill="1"/>
    <xf numFmtId="0" fontId="44" fillId="0" borderId="0" xfId="7" applyFont="1" applyAlignment="1">
      <alignment horizontal="left"/>
    </xf>
    <xf numFmtId="43" fontId="51" fillId="0" borderId="0" xfId="8" applyFont="1" applyFill="1"/>
    <xf numFmtId="186" fontId="44" fillId="8" borderId="0" xfId="7" applyNumberFormat="1" applyFont="1" applyFill="1"/>
    <xf numFmtId="165" fontId="44" fillId="8" borderId="0" xfId="1" applyNumberFormat="1" applyFont="1" applyFill="1"/>
    <xf numFmtId="165" fontId="51" fillId="0" borderId="0" xfId="7" applyNumberFormat="1" applyFont="1"/>
    <xf numFmtId="0" fontId="44" fillId="0" borderId="17" xfId="0" applyFont="1" applyBorder="1" applyAlignment="1">
      <alignment vertical="center"/>
    </xf>
    <xf numFmtId="0" fontId="44" fillId="0" borderId="17" xfId="7" applyFont="1" applyBorder="1"/>
    <xf numFmtId="0" fontId="44" fillId="0" borderId="63" xfId="7" applyFont="1" applyBorder="1"/>
    <xf numFmtId="186" fontId="52" fillId="0" borderId="75" xfId="7" applyNumberFormat="1" applyFont="1" applyBorder="1"/>
    <xf numFmtId="10" fontId="51" fillId="0" borderId="0" xfId="546" applyNumberFormat="1" applyFont="1" applyFill="1" applyBorder="1"/>
    <xf numFmtId="0" fontId="37" fillId="15" borderId="118" xfId="0" applyFont="1" applyFill="1" applyBorder="1" applyAlignment="1">
      <alignment horizontal="center" vertical="center"/>
    </xf>
    <xf numFmtId="0" fontId="37" fillId="15" borderId="97" xfId="0" applyFont="1" applyFill="1" applyBorder="1" applyAlignment="1">
      <alignment vertical="center"/>
    </xf>
    <xf numFmtId="0" fontId="38" fillId="15" borderId="98" xfId="7" applyFont="1" applyFill="1" applyBorder="1" applyAlignment="1">
      <alignment horizontal="center"/>
    </xf>
    <xf numFmtId="0" fontId="41" fillId="15" borderId="99" xfId="7" applyFont="1" applyFill="1" applyBorder="1"/>
    <xf numFmtId="43" fontId="38" fillId="15" borderId="100" xfId="1" applyFont="1" applyFill="1" applyBorder="1" applyAlignment="1">
      <alignment vertical="center"/>
    </xf>
    <xf numFmtId="0" fontId="38" fillId="15" borderId="100" xfId="0" applyFont="1" applyFill="1" applyBorder="1" applyAlignment="1">
      <alignment horizontal="center" vertical="center"/>
    </xf>
    <xf numFmtId="43" fontId="38" fillId="15" borderId="99" xfId="9" applyFont="1" applyFill="1" applyBorder="1"/>
    <xf numFmtId="43" fontId="38" fillId="15" borderId="100" xfId="9" applyFont="1" applyFill="1" applyBorder="1"/>
    <xf numFmtId="43" fontId="38" fillId="15" borderId="101" xfId="9" applyFont="1" applyFill="1" applyBorder="1"/>
    <xf numFmtId="0" fontId="37" fillId="15" borderId="98" xfId="7" applyFont="1" applyFill="1" applyBorder="1" applyAlignment="1">
      <alignment horizontal="center"/>
    </xf>
    <xf numFmtId="0" fontId="39" fillId="15" borderId="99" xfId="7" applyFont="1" applyFill="1" applyBorder="1"/>
    <xf numFmtId="43" fontId="37" fillId="15" borderId="100" xfId="9" applyFont="1" applyFill="1" applyBorder="1"/>
    <xf numFmtId="43" fontId="37" fillId="15" borderId="101" xfId="9" applyFont="1" applyFill="1" applyBorder="1"/>
    <xf numFmtId="188" fontId="38" fillId="0" borderId="0" xfId="7" applyNumberFormat="1" applyFont="1"/>
    <xf numFmtId="166" fontId="37" fillId="0" borderId="0" xfId="7" applyNumberFormat="1" applyFont="1" applyAlignment="1">
      <alignment vertical="center"/>
    </xf>
    <xf numFmtId="43" fontId="37" fillId="8" borderId="84" xfId="9" applyFont="1" applyFill="1" applyBorder="1" applyAlignment="1">
      <alignment horizontal="center" wrapText="1"/>
    </xf>
    <xf numFmtId="0" fontId="37" fillId="8" borderId="84" xfId="7" applyFont="1" applyFill="1" applyBorder="1" applyAlignment="1">
      <alignment horizontal="center" wrapText="1"/>
    </xf>
    <xf numFmtId="43" fontId="37" fillId="8" borderId="85" xfId="9" applyFont="1" applyFill="1" applyBorder="1" applyAlignment="1">
      <alignment horizontal="center" wrapText="1"/>
    </xf>
    <xf numFmtId="43" fontId="37" fillId="8" borderId="129" xfId="9" applyFont="1" applyFill="1" applyBorder="1" applyAlignment="1">
      <alignment horizontal="center" wrapText="1"/>
    </xf>
    <xf numFmtId="0" fontId="37" fillId="11" borderId="96" xfId="0" applyFont="1" applyFill="1" applyBorder="1" applyAlignment="1">
      <alignment horizontal="center" vertical="center"/>
    </xf>
    <xf numFmtId="0" fontId="37" fillId="11" borderId="97" xfId="0" applyFont="1" applyFill="1" applyBorder="1" applyAlignment="1">
      <alignment vertical="center"/>
    </xf>
    <xf numFmtId="0" fontId="38" fillId="11" borderId="98" xfId="310" applyFont="1" applyFill="1" applyBorder="1" applyAlignment="1">
      <alignment horizontal="center"/>
    </xf>
    <xf numFmtId="0" fontId="41" fillId="11" borderId="99" xfId="310" applyFont="1" applyFill="1" applyBorder="1"/>
    <xf numFmtId="43" fontId="38" fillId="11" borderId="100" xfId="312" applyFont="1" applyFill="1" applyBorder="1"/>
    <xf numFmtId="0" fontId="38" fillId="11" borderId="100" xfId="310" applyFont="1" applyFill="1" applyBorder="1" applyAlignment="1">
      <alignment horizontal="center"/>
    </xf>
    <xf numFmtId="43" fontId="38" fillId="11" borderId="99" xfId="312" applyFont="1" applyFill="1" applyBorder="1"/>
    <xf numFmtId="43" fontId="38" fillId="11" borderId="101" xfId="312" applyFont="1" applyFill="1" applyBorder="1"/>
    <xf numFmtId="0" fontId="44" fillId="0" borderId="0" xfId="0" applyFont="1" applyAlignment="1">
      <alignment horizontal="left" vertical="center"/>
    </xf>
    <xf numFmtId="0" fontId="36" fillId="0" borderId="0" xfId="7" applyFont="1" applyAlignment="1">
      <alignment horizontal="left" vertical="center"/>
    </xf>
    <xf numFmtId="0" fontId="38" fillId="0" borderId="0" xfId="7" applyFont="1" applyAlignment="1">
      <alignment vertical="center"/>
    </xf>
    <xf numFmtId="0" fontId="36" fillId="0" borderId="0" xfId="7" applyFont="1" applyAlignment="1">
      <alignment vertical="center"/>
    </xf>
    <xf numFmtId="0" fontId="38" fillId="0" borderId="0" xfId="7" applyFont="1" applyAlignment="1">
      <alignment horizontal="center" vertical="center"/>
    </xf>
    <xf numFmtId="165" fontId="37" fillId="0" borderId="0" xfId="7" applyNumberFormat="1" applyFont="1" applyAlignment="1">
      <alignment horizontal="center" vertical="center"/>
    </xf>
    <xf numFmtId="43" fontId="37" fillId="0" borderId="0" xfId="7" applyNumberFormat="1" applyFont="1" applyAlignment="1">
      <alignment vertical="center"/>
    </xf>
    <xf numFmtId="10" fontId="37" fillId="0" borderId="0" xfId="546" applyNumberFormat="1" applyFont="1" applyFill="1" applyBorder="1" applyAlignment="1">
      <alignment horizontal="center" vertical="center"/>
    </xf>
    <xf numFmtId="165" fontId="37" fillId="0" borderId="0" xfId="1" applyNumberFormat="1" applyFont="1" applyFill="1" applyBorder="1" applyAlignment="1">
      <alignment horizontal="center" vertical="center"/>
    </xf>
    <xf numFmtId="0" fontId="53" fillId="0" borderId="0" xfId="7" applyFont="1" applyAlignment="1">
      <alignment horizontal="center"/>
    </xf>
    <xf numFmtId="10" fontId="53" fillId="0" borderId="0" xfId="546" applyNumberFormat="1" applyFont="1" applyAlignment="1">
      <alignment horizontal="center"/>
    </xf>
    <xf numFmtId="10" fontId="44" fillId="0" borderId="27" xfId="546" applyNumberFormat="1" applyFont="1" applyBorder="1"/>
    <xf numFmtId="43" fontId="37" fillId="0" borderId="36" xfId="9" applyFont="1" applyFill="1" applyBorder="1" applyAlignment="1">
      <alignment horizontal="center" wrapText="1"/>
    </xf>
    <xf numFmtId="10" fontId="37" fillId="2" borderId="33" xfId="546" applyNumberFormat="1" applyFont="1" applyFill="1" applyBorder="1" applyAlignment="1">
      <alignment horizontal="center" vertical="center"/>
    </xf>
    <xf numFmtId="10" fontId="37" fillId="2" borderId="36" xfId="546" applyNumberFormat="1" applyFont="1" applyFill="1" applyBorder="1" applyAlignment="1">
      <alignment horizontal="center" vertical="center"/>
    </xf>
    <xf numFmtId="10" fontId="38" fillId="2" borderId="22" xfId="546" applyNumberFormat="1" applyFont="1" applyFill="1" applyBorder="1" applyAlignment="1">
      <alignment horizontal="center"/>
    </xf>
    <xf numFmtId="10" fontId="38" fillId="2" borderId="23" xfId="546" applyNumberFormat="1" applyFont="1" applyFill="1" applyBorder="1" applyAlignment="1">
      <alignment horizontal="center"/>
    </xf>
    <xf numFmtId="10" fontId="38" fillId="2" borderId="32" xfId="546" applyNumberFormat="1" applyFont="1" applyFill="1" applyBorder="1" applyAlignment="1">
      <alignment horizontal="center" vertical="center"/>
    </xf>
    <xf numFmtId="10" fontId="38" fillId="2" borderId="43" xfId="546" applyNumberFormat="1" applyFont="1" applyFill="1" applyBorder="1" applyAlignment="1">
      <alignment horizontal="center" vertical="center"/>
    </xf>
    <xf numFmtId="10" fontId="38" fillId="2" borderId="32" xfId="546" applyNumberFormat="1" applyFont="1" applyFill="1" applyBorder="1" applyAlignment="1">
      <alignment horizontal="center"/>
    </xf>
    <xf numFmtId="10" fontId="38" fillId="2" borderId="42" xfId="546" applyNumberFormat="1" applyFont="1" applyFill="1" applyBorder="1" applyAlignment="1">
      <alignment horizontal="center" vertical="center"/>
    </xf>
    <xf numFmtId="10" fontId="38" fillId="2" borderId="30" xfId="546" applyNumberFormat="1" applyFont="1" applyFill="1" applyBorder="1" applyAlignment="1">
      <alignment horizontal="center"/>
    </xf>
    <xf numFmtId="10" fontId="38" fillId="2" borderId="30" xfId="546" applyNumberFormat="1" applyFont="1" applyFill="1" applyBorder="1" applyAlignment="1">
      <alignment horizontal="center" vertical="center"/>
    </xf>
    <xf numFmtId="10" fontId="38" fillId="2" borderId="21" xfId="546" applyNumberFormat="1" applyFont="1" applyFill="1" applyBorder="1" applyAlignment="1">
      <alignment horizontal="center" vertical="center"/>
    </xf>
    <xf numFmtId="10" fontId="38" fillId="2" borderId="22" xfId="546" applyNumberFormat="1" applyFont="1" applyFill="1" applyBorder="1" applyAlignment="1">
      <alignment horizontal="center" vertical="center"/>
    </xf>
    <xf numFmtId="165" fontId="44" fillId="8" borderId="27" xfId="1" applyNumberFormat="1" applyFont="1" applyFill="1" applyBorder="1" applyAlignment="1"/>
    <xf numFmtId="165" fontId="38" fillId="0" borderId="0" xfId="7" applyNumberFormat="1" applyFont="1"/>
    <xf numFmtId="43" fontId="38" fillId="8" borderId="100" xfId="9" applyFont="1" applyFill="1" applyBorder="1"/>
    <xf numFmtId="0" fontId="38" fillId="8" borderId="100" xfId="7" applyFont="1" applyFill="1" applyBorder="1" applyAlignment="1">
      <alignment horizontal="center"/>
    </xf>
    <xf numFmtId="0" fontId="38" fillId="8" borderId="97" xfId="7" applyFont="1" applyFill="1" applyBorder="1" applyAlignment="1">
      <alignment horizontal="center"/>
    </xf>
    <xf numFmtId="0" fontId="38" fillId="8" borderId="98" xfId="7" applyFont="1" applyFill="1" applyBorder="1" applyAlignment="1">
      <alignment horizontal="center"/>
    </xf>
    <xf numFmtId="0" fontId="41" fillId="8" borderId="99" xfId="7" applyFont="1" applyFill="1" applyBorder="1"/>
    <xf numFmtId="43" fontId="38" fillId="8" borderId="100" xfId="8" applyFont="1" applyFill="1" applyBorder="1"/>
    <xf numFmtId="10" fontId="38" fillId="8" borderId="100" xfId="546" applyNumberFormat="1" applyFont="1" applyFill="1" applyBorder="1" applyAlignment="1">
      <alignment horizontal="center"/>
    </xf>
    <xf numFmtId="0" fontId="37" fillId="0" borderId="33" xfId="7" applyFont="1" applyBorder="1" applyAlignment="1">
      <alignment horizontal="center" wrapText="1"/>
    </xf>
    <xf numFmtId="186" fontId="38" fillId="0" borderId="23" xfId="9" applyNumberFormat="1" applyFont="1" applyFill="1" applyBorder="1"/>
    <xf numFmtId="0" fontId="37" fillId="17" borderId="31" xfId="0" applyFont="1" applyFill="1" applyBorder="1" applyAlignment="1">
      <alignment vertical="center"/>
    </xf>
    <xf numFmtId="0" fontId="38" fillId="17" borderId="1" xfId="310" applyFont="1" applyFill="1" applyBorder="1" applyAlignment="1">
      <alignment horizontal="center"/>
    </xf>
    <xf numFmtId="0" fontId="41" fillId="17" borderId="32" xfId="310" applyFont="1" applyFill="1" applyBorder="1"/>
    <xf numFmtId="43" fontId="38" fillId="17" borderId="23" xfId="312" applyFont="1" applyFill="1" applyBorder="1"/>
    <xf numFmtId="0" fontId="38" fillId="17" borderId="23" xfId="310" applyFont="1" applyFill="1" applyBorder="1" applyAlignment="1">
      <alignment horizontal="center"/>
    </xf>
    <xf numFmtId="10" fontId="38" fillId="17" borderId="32" xfId="546" applyNumberFormat="1" applyFont="1" applyFill="1" applyBorder="1" applyAlignment="1">
      <alignment horizontal="center"/>
    </xf>
    <xf numFmtId="43" fontId="38" fillId="17" borderId="23" xfId="9" applyFont="1" applyFill="1" applyBorder="1"/>
    <xf numFmtId="0" fontId="37" fillId="8" borderId="97" xfId="0" applyFont="1" applyFill="1" applyBorder="1" applyAlignment="1">
      <alignment vertical="center"/>
    </xf>
    <xf numFmtId="0" fontId="38" fillId="8" borderId="98" xfId="310" applyFont="1" applyFill="1" applyBorder="1" applyAlignment="1">
      <alignment horizontal="center"/>
    </xf>
    <xf numFmtId="0" fontId="41" fillId="8" borderId="99" xfId="310" applyFont="1" applyFill="1" applyBorder="1"/>
    <xf numFmtId="43" fontId="38" fillId="8" borderId="100" xfId="1" applyFont="1" applyFill="1" applyBorder="1"/>
    <xf numFmtId="0" fontId="38" fillId="8" borderId="100" xfId="0" applyFont="1" applyFill="1" applyBorder="1" applyAlignment="1">
      <alignment horizontal="center" vertical="center"/>
    </xf>
    <xf numFmtId="10" fontId="38" fillId="8" borderId="99" xfId="546" applyNumberFormat="1" applyFont="1" applyFill="1" applyBorder="1" applyAlignment="1">
      <alignment horizontal="center" vertical="center"/>
    </xf>
    <xf numFmtId="0" fontId="38" fillId="8" borderId="97" xfId="310" applyFont="1" applyFill="1" applyBorder="1" applyAlignment="1">
      <alignment horizontal="center"/>
    </xf>
    <xf numFmtId="43" fontId="38" fillId="8" borderId="100" xfId="312" applyFont="1" applyFill="1" applyBorder="1"/>
    <xf numFmtId="0" fontId="38" fillId="8" borderId="100" xfId="310" applyFont="1" applyFill="1" applyBorder="1" applyAlignment="1">
      <alignment horizontal="center"/>
    </xf>
    <xf numFmtId="10" fontId="38" fillId="8" borderId="99" xfId="546" applyNumberFormat="1" applyFont="1" applyFill="1" applyBorder="1" applyAlignment="1">
      <alignment horizontal="center"/>
    </xf>
    <xf numFmtId="0" fontId="38" fillId="17" borderId="1" xfId="7" applyFont="1" applyFill="1" applyBorder="1" applyAlignment="1">
      <alignment horizontal="center"/>
    </xf>
    <xf numFmtId="0" fontId="41" fillId="17" borderId="32" xfId="7" applyFont="1" applyFill="1" applyBorder="1"/>
    <xf numFmtId="43" fontId="38" fillId="17" borderId="23" xfId="8" applyFont="1" applyFill="1" applyBorder="1"/>
    <xf numFmtId="0" fontId="38" fillId="17" borderId="23" xfId="7" applyFont="1" applyFill="1" applyBorder="1" applyAlignment="1">
      <alignment horizontal="center"/>
    </xf>
    <xf numFmtId="43" fontId="38" fillId="8" borderId="100" xfId="1" applyFont="1" applyFill="1" applyBorder="1" applyAlignment="1">
      <alignment horizontal="center"/>
    </xf>
    <xf numFmtId="43" fontId="38" fillId="8" borderId="97" xfId="1" applyFont="1" applyFill="1" applyBorder="1" applyAlignment="1">
      <alignment horizontal="center"/>
    </xf>
    <xf numFmtId="43" fontId="38" fillId="8" borderId="98" xfId="1" applyFont="1" applyFill="1" applyBorder="1" applyAlignment="1">
      <alignment horizontal="center"/>
    </xf>
    <xf numFmtId="43" fontId="41" fillId="8" borderId="99" xfId="1" applyFont="1" applyFill="1" applyBorder="1"/>
    <xf numFmtId="43" fontId="38" fillId="17" borderId="23" xfId="1" applyFont="1" applyFill="1" applyBorder="1" applyAlignment="1">
      <alignment vertical="center"/>
    </xf>
    <xf numFmtId="0" fontId="38" fillId="17" borderId="23" xfId="0" applyFont="1" applyFill="1" applyBorder="1" applyAlignment="1">
      <alignment horizontal="center" vertical="center"/>
    </xf>
    <xf numFmtId="10" fontId="38" fillId="17" borderId="32" xfId="546" applyNumberFormat="1" applyFont="1" applyFill="1" applyBorder="1" applyAlignment="1">
      <alignment horizontal="center" vertical="center"/>
    </xf>
    <xf numFmtId="43" fontId="38" fillId="8" borderId="100" xfId="1" applyFont="1" applyFill="1" applyBorder="1" applyAlignment="1">
      <alignment horizontal="center" vertical="center"/>
    </xf>
    <xf numFmtId="43" fontId="38" fillId="8" borderId="97" xfId="1" applyFont="1" applyFill="1" applyBorder="1" applyAlignment="1">
      <alignment vertical="center"/>
    </xf>
    <xf numFmtId="43" fontId="38" fillId="8" borderId="100" xfId="1" applyFont="1" applyFill="1" applyBorder="1" applyAlignment="1">
      <alignment vertical="center"/>
    </xf>
    <xf numFmtId="0" fontId="37" fillId="17" borderId="1" xfId="7" applyFont="1" applyFill="1" applyBorder="1" applyAlignment="1">
      <alignment horizontal="center"/>
    </xf>
    <xf numFmtId="0" fontId="39" fillId="17" borderId="32" xfId="7" applyFont="1" applyFill="1" applyBorder="1"/>
    <xf numFmtId="43" fontId="38" fillId="17" borderId="21" xfId="1" applyFont="1" applyFill="1" applyBorder="1" applyAlignment="1">
      <alignment vertical="center"/>
    </xf>
    <xf numFmtId="0" fontId="38" fillId="17" borderId="21" xfId="0" applyFont="1" applyFill="1" applyBorder="1" applyAlignment="1">
      <alignment horizontal="center" vertical="center"/>
    </xf>
    <xf numFmtId="10" fontId="38" fillId="17" borderId="30" xfId="546" applyNumberFormat="1" applyFont="1" applyFill="1" applyBorder="1" applyAlignment="1">
      <alignment horizontal="center" vertical="center"/>
    </xf>
    <xf numFmtId="0" fontId="38" fillId="8" borderId="115" xfId="0" applyFont="1" applyFill="1" applyBorder="1" applyAlignment="1">
      <alignment horizontal="center"/>
    </xf>
    <xf numFmtId="0" fontId="38" fillId="8" borderId="112" xfId="0" applyFont="1" applyFill="1" applyBorder="1"/>
    <xf numFmtId="43" fontId="38" fillId="8" borderId="115" xfId="1" applyFont="1" applyFill="1" applyBorder="1" applyAlignment="1"/>
    <xf numFmtId="10" fontId="38" fillId="8" borderId="114" xfId="546" applyNumberFormat="1" applyFont="1" applyFill="1" applyBorder="1" applyAlignment="1">
      <alignment horizontal="center"/>
    </xf>
    <xf numFmtId="43" fontId="37" fillId="8" borderId="115" xfId="9" applyFont="1" applyFill="1" applyBorder="1" applyAlignment="1"/>
    <xf numFmtId="165" fontId="38" fillId="0" borderId="0" xfId="9" applyNumberFormat="1" applyFont="1" applyFill="1"/>
    <xf numFmtId="165" fontId="44" fillId="0" borderId="0" xfId="7" applyNumberFormat="1" applyFont="1" applyAlignment="1">
      <alignment horizontal="center"/>
    </xf>
    <xf numFmtId="165" fontId="37" fillId="0" borderId="0" xfId="7" applyNumberFormat="1" applyFont="1" applyAlignment="1">
      <alignment horizontal="center"/>
    </xf>
    <xf numFmtId="165" fontId="38" fillId="0" borderId="0" xfId="11" applyNumberFormat="1" applyFont="1" applyFill="1"/>
    <xf numFmtId="165" fontId="42" fillId="0" borderId="0" xfId="9" applyNumberFormat="1" applyFont="1" applyFill="1"/>
    <xf numFmtId="0" fontId="38" fillId="13" borderId="113" xfId="0" applyFont="1" applyFill="1" applyBorder="1" applyAlignment="1">
      <alignment vertical="center"/>
    </xf>
    <xf numFmtId="0" fontId="38" fillId="13" borderId="113" xfId="7" applyFont="1" applyFill="1" applyBorder="1" applyAlignment="1">
      <alignment horizontal="center"/>
    </xf>
    <xf numFmtId="0" fontId="41" fillId="13" borderId="113" xfId="7" applyFont="1" applyFill="1" applyBorder="1"/>
    <xf numFmtId="43" fontId="38" fillId="13" borderId="113" xfId="1" applyFont="1" applyFill="1" applyBorder="1" applyAlignment="1">
      <alignment vertical="center"/>
    </xf>
    <xf numFmtId="0" fontId="38" fillId="13" borderId="113" xfId="0" applyFont="1" applyFill="1" applyBorder="1" applyAlignment="1">
      <alignment horizontal="center" vertical="center"/>
    </xf>
    <xf numFmtId="10" fontId="38" fillId="13" borderId="113" xfId="546" applyNumberFormat="1" applyFont="1" applyFill="1" applyBorder="1" applyAlignment="1">
      <alignment horizontal="center" vertical="center"/>
    </xf>
    <xf numFmtId="165" fontId="37" fillId="0" borderId="0" xfId="9" applyNumberFormat="1" applyFont="1" applyFill="1" applyBorder="1" applyAlignment="1">
      <alignment horizontal="center" wrapText="1"/>
    </xf>
    <xf numFmtId="165" fontId="38" fillId="0" borderId="0" xfId="9" applyNumberFormat="1" applyFont="1" applyFill="1" applyBorder="1"/>
    <xf numFmtId="165" fontId="37" fillId="8" borderId="0" xfId="9" applyNumberFormat="1" applyFont="1" applyFill="1" applyBorder="1"/>
    <xf numFmtId="165" fontId="38" fillId="17" borderId="0" xfId="312" applyNumberFormat="1" applyFont="1" applyFill="1" applyBorder="1"/>
    <xf numFmtId="165" fontId="37" fillId="8" borderId="0" xfId="312" applyNumberFormat="1" applyFont="1" applyFill="1" applyBorder="1"/>
    <xf numFmtId="165" fontId="37" fillId="0" borderId="0" xfId="9" applyNumberFormat="1" applyFont="1" applyFill="1" applyBorder="1"/>
    <xf numFmtId="165" fontId="38" fillId="17" borderId="0" xfId="9" applyNumberFormat="1" applyFont="1" applyFill="1" applyBorder="1"/>
    <xf numFmtId="165" fontId="37" fillId="8" borderId="0" xfId="1" applyNumberFormat="1" applyFont="1" applyFill="1" applyBorder="1"/>
    <xf numFmtId="165" fontId="37" fillId="0" borderId="0" xfId="1" applyNumberFormat="1" applyFont="1" applyFill="1" applyBorder="1"/>
    <xf numFmtId="165" fontId="38" fillId="0" borderId="0" xfId="1" applyNumberFormat="1" applyFont="1" applyFill="1" applyBorder="1"/>
    <xf numFmtId="165" fontId="37" fillId="17" borderId="0" xfId="9" applyNumberFormat="1" applyFont="1" applyFill="1" applyBorder="1"/>
    <xf numFmtId="165" fontId="37" fillId="8" borderId="0" xfId="9" applyNumberFormat="1" applyFont="1" applyFill="1" applyBorder="1" applyAlignment="1"/>
    <xf numFmtId="165" fontId="38" fillId="13" borderId="0" xfId="9" applyNumberFormat="1" applyFont="1" applyFill="1" applyBorder="1"/>
    <xf numFmtId="0" fontId="37" fillId="17" borderId="32" xfId="7" applyFont="1" applyFill="1" applyBorder="1" applyAlignment="1">
      <alignment horizontal="left" indent="1"/>
    </xf>
    <xf numFmtId="10" fontId="38" fillId="17" borderId="23" xfId="546" applyNumberFormat="1" applyFont="1" applyFill="1" applyBorder="1" applyAlignment="1">
      <alignment horizontal="center"/>
    </xf>
    <xf numFmtId="10" fontId="44" fillId="0" borderId="27" xfId="546" applyNumberFormat="1" applyFont="1" applyBorder="1" applyAlignment="1">
      <alignment wrapText="1"/>
    </xf>
    <xf numFmtId="10" fontId="38" fillId="0" borderId="0" xfId="546" applyNumberFormat="1" applyFont="1" applyAlignment="1">
      <alignment wrapText="1"/>
    </xf>
    <xf numFmtId="10" fontId="37" fillId="0" borderId="61" xfId="546" applyNumberFormat="1" applyFont="1" applyBorder="1" applyAlignment="1">
      <alignment horizontal="center" wrapText="1"/>
    </xf>
    <xf numFmtId="10" fontId="37" fillId="0" borderId="62" xfId="546" applyNumberFormat="1" applyFont="1" applyBorder="1" applyAlignment="1">
      <alignment horizontal="center" wrapText="1"/>
    </xf>
    <xf numFmtId="10" fontId="38" fillId="0" borderId="27" xfId="546" applyNumberFormat="1" applyFont="1" applyBorder="1" applyAlignment="1">
      <alignment wrapText="1"/>
    </xf>
    <xf numFmtId="43" fontId="38" fillId="0" borderId="0" xfId="1" applyFont="1" applyAlignment="1">
      <alignment wrapText="1"/>
    </xf>
    <xf numFmtId="10" fontId="35" fillId="0" borderId="80" xfId="546" applyNumberFormat="1" applyFont="1" applyBorder="1" applyAlignment="1">
      <alignment vertical="center" wrapText="1"/>
    </xf>
    <xf numFmtId="10" fontId="42" fillId="0" borderId="0" xfId="546" applyNumberFormat="1" applyFont="1" applyAlignment="1">
      <alignment wrapText="1"/>
    </xf>
    <xf numFmtId="10" fontId="37" fillId="0" borderId="0" xfId="546" applyNumberFormat="1" applyFont="1" applyAlignment="1">
      <alignment vertical="center" wrapText="1"/>
    </xf>
    <xf numFmtId="10" fontId="37" fillId="0" borderId="0" xfId="546" applyNumberFormat="1" applyFont="1" applyAlignment="1">
      <alignment wrapText="1"/>
    </xf>
    <xf numFmtId="10" fontId="38" fillId="0" borderId="0" xfId="546" applyNumberFormat="1" applyFont="1" applyFill="1" applyAlignment="1">
      <alignment wrapText="1"/>
    </xf>
    <xf numFmtId="10" fontId="35" fillId="10" borderId="27" xfId="7" applyNumberFormat="1" applyFont="1" applyFill="1" applyBorder="1" applyAlignment="1">
      <alignment horizontal="center" vertical="center"/>
    </xf>
    <xf numFmtId="10" fontId="47" fillId="18" borderId="27" xfId="546" applyNumberFormat="1" applyFont="1" applyFill="1" applyBorder="1" applyAlignment="1">
      <alignment horizontal="center" vertical="center"/>
    </xf>
    <xf numFmtId="10" fontId="47" fillId="0" borderId="63" xfId="546" applyNumberFormat="1" applyFont="1" applyFill="1" applyBorder="1" applyAlignment="1">
      <alignment horizontal="center" vertical="center"/>
    </xf>
    <xf numFmtId="10" fontId="35" fillId="0" borderId="63" xfId="546" applyNumberFormat="1" applyFont="1" applyFill="1" applyBorder="1" applyAlignment="1">
      <alignment horizontal="center" vertical="center"/>
    </xf>
    <xf numFmtId="0" fontId="35" fillId="0" borderId="63" xfId="7" applyFont="1" applyBorder="1" applyAlignment="1">
      <alignment horizontal="center" vertical="center"/>
    </xf>
    <xf numFmtId="0" fontId="35" fillId="0" borderId="0" xfId="7" applyFont="1" applyAlignment="1">
      <alignment horizontal="center" vertical="center"/>
    </xf>
    <xf numFmtId="0" fontId="35" fillId="0" borderId="76" xfId="7" applyFont="1" applyBorder="1" applyAlignment="1">
      <alignment horizontal="center" vertical="center"/>
    </xf>
    <xf numFmtId="0" fontId="35" fillId="0" borderId="26" xfId="7" applyFont="1" applyBorder="1" applyAlignment="1">
      <alignment horizontal="center" vertical="center"/>
    </xf>
    <xf numFmtId="0" fontId="35" fillId="0" borderId="77" xfId="7" applyFont="1" applyBorder="1" applyAlignment="1">
      <alignment horizontal="center" vertical="center"/>
    </xf>
    <xf numFmtId="10" fontId="35" fillId="7" borderId="27" xfId="546" applyNumberFormat="1" applyFont="1" applyFill="1" applyBorder="1" applyAlignment="1">
      <alignment horizontal="center" vertical="center"/>
    </xf>
    <xf numFmtId="10" fontId="35" fillId="0" borderId="76" xfId="546" applyNumberFormat="1" applyFont="1" applyBorder="1" applyAlignment="1">
      <alignment horizontal="center" vertical="center"/>
    </xf>
    <xf numFmtId="10" fontId="35" fillId="0" borderId="26" xfId="546" applyNumberFormat="1" applyFont="1" applyBorder="1" applyAlignment="1">
      <alignment horizontal="center" vertical="center"/>
    </xf>
    <xf numFmtId="10" fontId="35" fillId="0" borderId="77" xfId="546" applyNumberFormat="1" applyFont="1" applyBorder="1" applyAlignment="1">
      <alignment horizontal="center" vertical="center"/>
    </xf>
    <xf numFmtId="10" fontId="35" fillId="14" borderId="27" xfId="546" applyNumberFormat="1" applyFont="1" applyFill="1" applyBorder="1" applyAlignment="1">
      <alignment horizontal="center" vertical="center"/>
    </xf>
    <xf numFmtId="10" fontId="36" fillId="15" borderId="27" xfId="546" applyNumberFormat="1" applyFont="1" applyFill="1" applyBorder="1" applyAlignment="1">
      <alignment horizontal="left" vertical="center" wrapText="1"/>
    </xf>
    <xf numFmtId="0" fontId="38" fillId="3" borderId="8" xfId="0" applyFont="1" applyFill="1" applyBorder="1" applyAlignment="1">
      <alignment horizontal="left"/>
    </xf>
    <xf numFmtId="43" fontId="36" fillId="3" borderId="16" xfId="128" applyFont="1" applyFill="1" applyBorder="1" applyAlignment="1">
      <alignment vertical="top"/>
    </xf>
    <xf numFmtId="43" fontId="38" fillId="3" borderId="13" xfId="128" applyFont="1" applyFill="1" applyBorder="1" applyAlignment="1">
      <alignment vertical="top"/>
    </xf>
    <xf numFmtId="43" fontId="36" fillId="3" borderId="11" xfId="128" applyFont="1" applyFill="1" applyBorder="1" applyAlignment="1">
      <alignment vertical="center"/>
    </xf>
    <xf numFmtId="43" fontId="43" fillId="0" borderId="15" xfId="3" applyFont="1" applyFill="1" applyBorder="1"/>
    <xf numFmtId="0" fontId="44" fillId="0" borderId="53" xfId="0" applyFont="1" applyBorder="1" applyAlignment="1">
      <alignment horizontal="left"/>
    </xf>
    <xf numFmtId="0" fontId="36" fillId="0" borderId="7" xfId="7" applyFont="1" applyBorder="1" applyAlignment="1">
      <alignment horizontal="left"/>
    </xf>
    <xf numFmtId="0" fontId="35" fillId="0" borderId="7" xfId="7" applyFont="1" applyBorder="1"/>
    <xf numFmtId="43" fontId="38" fillId="0" borderId="7" xfId="8" applyFont="1" applyFill="1" applyBorder="1"/>
    <xf numFmtId="0" fontId="38" fillId="0" borderId="7" xfId="7" applyFont="1" applyBorder="1" applyAlignment="1">
      <alignment horizontal="center"/>
    </xf>
    <xf numFmtId="10" fontId="38" fillId="0" borderId="7" xfId="546" applyNumberFormat="1" applyFont="1" applyBorder="1" applyAlignment="1">
      <alignment horizontal="center"/>
    </xf>
    <xf numFmtId="43" fontId="38" fillId="0" borderId="7" xfId="9" applyFont="1" applyFill="1" applyBorder="1"/>
    <xf numFmtId="165" fontId="38" fillId="0" borderId="54" xfId="9" applyNumberFormat="1" applyFont="1" applyFill="1" applyBorder="1"/>
    <xf numFmtId="43" fontId="38" fillId="0" borderId="0" xfId="8" applyFont="1" applyFill="1" applyBorder="1"/>
    <xf numFmtId="10" fontId="38" fillId="0" borderId="0" xfId="546" applyNumberFormat="1" applyFont="1" applyBorder="1" applyAlignment="1">
      <alignment horizontal="center"/>
    </xf>
    <xf numFmtId="43" fontId="38" fillId="0" borderId="0" xfId="9" applyFont="1" applyFill="1" applyBorder="1"/>
    <xf numFmtId="165" fontId="38" fillId="0" borderId="56" xfId="9" applyNumberFormat="1" applyFont="1" applyFill="1" applyBorder="1"/>
    <xf numFmtId="165" fontId="38" fillId="0" borderId="56" xfId="7" applyNumberFormat="1" applyFont="1" applyBorder="1"/>
    <xf numFmtId="10" fontId="44" fillId="0" borderId="0" xfId="546" applyNumberFormat="1" applyFont="1" applyBorder="1" applyAlignment="1">
      <alignment horizontal="center"/>
    </xf>
    <xf numFmtId="165" fontId="44" fillId="0" borderId="56" xfId="7" applyNumberFormat="1" applyFont="1" applyBorder="1" applyAlignment="1">
      <alignment horizontal="center"/>
    </xf>
    <xf numFmtId="43" fontId="51" fillId="0" borderId="0" xfId="8" applyFont="1" applyFill="1" applyBorder="1"/>
    <xf numFmtId="10" fontId="51" fillId="0" borderId="0" xfId="546" applyNumberFormat="1" applyFont="1" applyBorder="1" applyAlignment="1">
      <alignment horizontal="center"/>
    </xf>
    <xf numFmtId="165" fontId="51" fillId="0" borderId="56" xfId="7" applyNumberFormat="1" applyFont="1" applyBorder="1"/>
    <xf numFmtId="10" fontId="37" fillId="0" borderId="0" xfId="546" applyNumberFormat="1" applyFont="1" applyBorder="1" applyAlignment="1">
      <alignment horizontal="center"/>
    </xf>
    <xf numFmtId="165" fontId="37" fillId="0" borderId="56" xfId="7" applyNumberFormat="1" applyFont="1" applyBorder="1" applyAlignment="1">
      <alignment horizontal="center"/>
    </xf>
    <xf numFmtId="165" fontId="37" fillId="0" borderId="131" xfId="9" applyNumberFormat="1" applyFont="1" applyFill="1" applyBorder="1" applyAlignment="1">
      <alignment horizontal="center" wrapText="1"/>
    </xf>
    <xf numFmtId="165" fontId="37" fillId="0" borderId="133" xfId="9" applyNumberFormat="1" applyFont="1" applyFill="1" applyBorder="1" applyAlignment="1">
      <alignment horizontal="center" wrapText="1"/>
    </xf>
    <xf numFmtId="0" fontId="36" fillId="0" borderId="55" xfId="0" applyFont="1" applyBorder="1" applyAlignment="1">
      <alignment horizontal="center" vertical="center"/>
    </xf>
    <xf numFmtId="165" fontId="38" fillId="0" borderId="134" xfId="9" applyNumberFormat="1" applyFont="1" applyFill="1" applyBorder="1"/>
    <xf numFmtId="0" fontId="37" fillId="17" borderId="135" xfId="0" applyFont="1" applyFill="1" applyBorder="1" applyAlignment="1">
      <alignment horizontal="center" vertical="center"/>
    </xf>
    <xf numFmtId="165" fontId="38" fillId="17" borderId="136" xfId="9" applyNumberFormat="1" applyFont="1" applyFill="1" applyBorder="1"/>
    <xf numFmtId="0" fontId="38" fillId="0" borderId="135" xfId="0" applyFont="1" applyBorder="1" applyAlignment="1">
      <alignment horizontal="center" vertical="center"/>
    </xf>
    <xf numFmtId="165" fontId="38" fillId="0" borderId="136" xfId="9" applyNumberFormat="1" applyFont="1" applyFill="1" applyBorder="1"/>
    <xf numFmtId="0" fontId="38" fillId="0" borderId="137" xfId="0" applyFont="1" applyBorder="1" applyAlignment="1">
      <alignment horizontal="center" vertical="center"/>
    </xf>
    <xf numFmtId="165" fontId="38" fillId="0" borderId="138" xfId="9" applyNumberFormat="1" applyFont="1" applyFill="1" applyBorder="1"/>
    <xf numFmtId="0" fontId="38" fillId="8" borderId="139" xfId="7" applyFont="1" applyFill="1" applyBorder="1" applyAlignment="1">
      <alignment horizontal="center"/>
    </xf>
    <xf numFmtId="165" fontId="37" fillId="8" borderId="140" xfId="9" applyNumberFormat="1" applyFont="1" applyFill="1" applyBorder="1"/>
    <xf numFmtId="0" fontId="38" fillId="0" borderId="141" xfId="7" applyFont="1" applyBorder="1" applyAlignment="1">
      <alignment horizontal="center"/>
    </xf>
    <xf numFmtId="165" fontId="38" fillId="17" borderId="136" xfId="312" applyNumberFormat="1" applyFont="1" applyFill="1" applyBorder="1"/>
    <xf numFmtId="0" fontId="38" fillId="0" borderId="141" xfId="0" applyFont="1" applyBorder="1" applyAlignment="1">
      <alignment horizontal="center" vertical="center"/>
    </xf>
    <xf numFmtId="0" fontId="38" fillId="8" borderId="142" xfId="0" applyFont="1" applyFill="1" applyBorder="1" applyAlignment="1">
      <alignment horizontal="center" vertical="center"/>
    </xf>
    <xf numFmtId="165" fontId="37" fillId="8" borderId="140" xfId="312" applyNumberFormat="1" applyFont="1" applyFill="1" applyBorder="1"/>
    <xf numFmtId="0" fontId="38" fillId="0" borderId="135" xfId="7" applyFont="1" applyBorder="1" applyAlignment="1">
      <alignment horizontal="center"/>
    </xf>
    <xf numFmtId="165" fontId="37" fillId="0" borderId="143" xfId="9" applyNumberFormat="1" applyFont="1" applyFill="1" applyBorder="1"/>
    <xf numFmtId="0" fontId="38" fillId="8" borderId="142" xfId="310" applyFont="1" applyFill="1" applyBorder="1" applyAlignment="1">
      <alignment horizontal="center"/>
    </xf>
    <xf numFmtId="0" fontId="38" fillId="8" borderId="142" xfId="7" applyFont="1" applyFill="1" applyBorder="1" applyAlignment="1">
      <alignment horizontal="center"/>
    </xf>
    <xf numFmtId="165" fontId="37" fillId="0" borderId="136" xfId="9" applyNumberFormat="1" applyFont="1" applyFill="1" applyBorder="1"/>
    <xf numFmtId="43" fontId="38" fillId="8" borderId="139" xfId="1" applyFont="1" applyFill="1" applyBorder="1" applyAlignment="1">
      <alignment horizontal="center"/>
    </xf>
    <xf numFmtId="165" fontId="37" fillId="8" borderId="140" xfId="1" applyNumberFormat="1" applyFont="1" applyFill="1" applyBorder="1"/>
    <xf numFmtId="43" fontId="38" fillId="0" borderId="141" xfId="1" applyFont="1" applyBorder="1" applyAlignment="1">
      <alignment horizontal="center" vertical="center"/>
    </xf>
    <xf numFmtId="165" fontId="37" fillId="0" borderId="143" xfId="1" applyNumberFormat="1" applyFont="1" applyFill="1" applyBorder="1"/>
    <xf numFmtId="0" fontId="37" fillId="17" borderId="141" xfId="0" applyFont="1" applyFill="1" applyBorder="1" applyAlignment="1">
      <alignment horizontal="center" vertical="center"/>
    </xf>
    <xf numFmtId="0" fontId="38" fillId="0" borderId="144" xfId="0" applyFont="1" applyBorder="1" applyAlignment="1">
      <alignment horizontal="center" vertical="center"/>
    </xf>
    <xf numFmtId="43" fontId="38" fillId="8" borderId="139" xfId="1" applyFont="1" applyFill="1" applyBorder="1" applyAlignment="1">
      <alignment horizontal="center" vertical="center"/>
    </xf>
    <xf numFmtId="165" fontId="38" fillId="0" borderId="136" xfId="1" applyNumberFormat="1" applyFont="1" applyFill="1" applyBorder="1"/>
    <xf numFmtId="165" fontId="37" fillId="17" borderId="143" xfId="9" applyNumberFormat="1" applyFont="1" applyFill="1" applyBorder="1"/>
    <xf numFmtId="0" fontId="38" fillId="8" borderId="145" xfId="0" applyFont="1" applyFill="1" applyBorder="1" applyAlignment="1">
      <alignment horizontal="center"/>
    </xf>
    <xf numFmtId="165" fontId="37" fillId="8" borderId="146" xfId="9" applyNumberFormat="1" applyFont="1" applyFill="1" applyBorder="1" applyAlignment="1"/>
    <xf numFmtId="0" fontId="38" fillId="13" borderId="147" xfId="0" applyFont="1" applyFill="1" applyBorder="1" applyAlignment="1">
      <alignment horizontal="center" vertical="center"/>
    </xf>
    <xf numFmtId="0" fontId="38" fillId="13" borderId="149" xfId="7" applyFont="1" applyFill="1" applyBorder="1" applyAlignment="1">
      <alignment horizontal="center"/>
    </xf>
    <xf numFmtId="0" fontId="38" fillId="13" borderId="150" xfId="7" applyFont="1" applyFill="1" applyBorder="1" applyAlignment="1">
      <alignment horizontal="center"/>
    </xf>
    <xf numFmtId="0" fontId="38" fillId="13" borderId="150" xfId="9" applyNumberFormat="1" applyFont="1" applyFill="1" applyBorder="1" applyAlignment="1">
      <alignment horizontal="left" indent="1"/>
    </xf>
    <xf numFmtId="43" fontId="42" fillId="13" borderId="150" xfId="8" applyFont="1" applyFill="1" applyBorder="1"/>
    <xf numFmtId="10" fontId="38" fillId="13" borderId="150" xfId="546" applyNumberFormat="1" applyFont="1" applyFill="1" applyBorder="1" applyAlignment="1">
      <alignment horizontal="center"/>
    </xf>
    <xf numFmtId="43" fontId="36" fillId="13" borderId="122" xfId="9" applyFont="1" applyFill="1" applyBorder="1"/>
    <xf numFmtId="165" fontId="36" fillId="13" borderId="148" xfId="9" applyNumberFormat="1" applyFont="1" applyFill="1" applyBorder="1"/>
    <xf numFmtId="43" fontId="36" fillId="13" borderId="151" xfId="9" applyFont="1" applyFill="1" applyBorder="1"/>
    <xf numFmtId="165" fontId="36" fillId="13" borderId="152" xfId="9" applyNumberFormat="1" applyFont="1" applyFill="1" applyBorder="1"/>
    <xf numFmtId="0" fontId="37" fillId="3" borderId="45" xfId="0" applyFont="1" applyFill="1" applyBorder="1" applyAlignment="1">
      <alignment horizontal="center" vertical="center"/>
    </xf>
    <xf numFmtId="0" fontId="37" fillId="3" borderId="46" xfId="0" applyFont="1" applyFill="1" applyBorder="1" applyAlignment="1">
      <alignment horizontal="center" vertical="center"/>
    </xf>
    <xf numFmtId="168" fontId="37" fillId="3" borderId="52" xfId="128" applyNumberFormat="1" applyFont="1" applyFill="1" applyBorder="1" applyAlignment="1">
      <alignment horizontal="center" vertical="center"/>
    </xf>
    <xf numFmtId="168" fontId="37" fillId="3" borderId="7" xfId="128" applyNumberFormat="1" applyFont="1" applyFill="1" applyBorder="1" applyAlignment="1">
      <alignment horizontal="center" vertical="center"/>
    </xf>
    <xf numFmtId="168" fontId="37" fillId="3" borderId="51" xfId="128" applyNumberFormat="1" applyFont="1" applyFill="1" applyBorder="1" applyAlignment="1">
      <alignment horizontal="center" vertical="center"/>
    </xf>
    <xf numFmtId="168" fontId="37" fillId="3" borderId="2" xfId="128" applyNumberFormat="1" applyFont="1" applyFill="1" applyBorder="1" applyAlignment="1">
      <alignment horizontal="center" vertical="center"/>
    </xf>
    <xf numFmtId="168" fontId="37" fillId="3" borderId="3" xfId="128" applyNumberFormat="1" applyFont="1" applyFill="1" applyBorder="1" applyAlignment="1">
      <alignment horizontal="center" vertical="center"/>
    </xf>
    <xf numFmtId="168" fontId="37" fillId="3" borderId="4" xfId="128" applyNumberFormat="1" applyFont="1" applyFill="1" applyBorder="1" applyAlignment="1">
      <alignment horizontal="center" vertical="center"/>
    </xf>
    <xf numFmtId="0" fontId="37" fillId="0" borderId="130" xfId="7" applyFont="1" applyBorder="1" applyAlignment="1">
      <alignment horizontal="center" vertical="center"/>
    </xf>
    <xf numFmtId="0" fontId="37" fillId="0" borderId="132" xfId="7" applyFont="1" applyBorder="1" applyAlignment="1">
      <alignment horizontal="center" vertical="center"/>
    </xf>
    <xf numFmtId="0" fontId="37" fillId="0" borderId="34" xfId="9" applyNumberFormat="1" applyFont="1" applyFill="1" applyBorder="1" applyAlignment="1">
      <alignment horizontal="center" vertical="center"/>
    </xf>
    <xf numFmtId="0" fontId="37" fillId="0" borderId="7" xfId="9" applyNumberFormat="1" applyFont="1" applyFill="1" applyBorder="1" applyAlignment="1">
      <alignment horizontal="center" vertical="center"/>
    </xf>
    <xf numFmtId="0" fontId="37" fillId="0" borderId="35" xfId="9" applyNumberFormat="1" applyFont="1" applyFill="1" applyBorder="1" applyAlignment="1">
      <alignment horizontal="center" vertical="center"/>
    </xf>
    <xf numFmtId="0" fontId="37" fillId="0" borderId="37" xfId="9" applyNumberFormat="1" applyFont="1" applyFill="1" applyBorder="1" applyAlignment="1">
      <alignment horizontal="center" vertical="center"/>
    </xf>
    <xf numFmtId="0" fontId="37" fillId="0" borderId="3" xfId="9" applyNumberFormat="1" applyFont="1" applyFill="1" applyBorder="1" applyAlignment="1">
      <alignment horizontal="center" vertical="center"/>
    </xf>
    <xf numFmtId="0" fontId="37" fillId="0" borderId="38" xfId="9" applyNumberFormat="1" applyFont="1" applyFill="1" applyBorder="1" applyAlignment="1">
      <alignment horizontal="center" vertical="center"/>
    </xf>
    <xf numFmtId="43" fontId="37" fillId="2" borderId="33" xfId="9" applyFont="1" applyFill="1" applyBorder="1" applyAlignment="1">
      <alignment horizontal="center" vertical="center"/>
    </xf>
    <xf numFmtId="43" fontId="37" fillId="2" borderId="36" xfId="9" applyFont="1" applyFill="1" applyBorder="1" applyAlignment="1">
      <alignment horizontal="center" vertical="center"/>
    </xf>
    <xf numFmtId="0" fontId="37" fillId="0" borderId="17" xfId="7" applyFont="1" applyBorder="1" applyAlignment="1">
      <alignment horizontal="center"/>
    </xf>
    <xf numFmtId="0" fontId="37" fillId="0" borderId="19" xfId="7" applyFont="1" applyBorder="1" applyAlignment="1">
      <alignment horizontal="center"/>
    </xf>
    <xf numFmtId="165" fontId="37" fillId="12" borderId="27" xfId="7" applyNumberFormat="1" applyFont="1" applyFill="1" applyBorder="1" applyAlignment="1">
      <alignment horizontal="center"/>
    </xf>
    <xf numFmtId="0" fontId="37" fillId="12" borderId="27" xfId="7" applyFont="1" applyFill="1" applyBorder="1" applyAlignment="1">
      <alignment horizontal="center"/>
    </xf>
    <xf numFmtId="165" fontId="36" fillId="11" borderId="27" xfId="7" applyNumberFormat="1" applyFont="1" applyFill="1" applyBorder="1" applyAlignment="1">
      <alignment horizontal="center" vertical="center"/>
    </xf>
    <xf numFmtId="0" fontId="36" fillId="11" borderId="27" xfId="7" applyFont="1" applyFill="1" applyBorder="1" applyAlignment="1">
      <alignment horizontal="center" vertical="center"/>
    </xf>
    <xf numFmtId="165" fontId="35" fillId="7" borderId="76" xfId="546" applyNumberFormat="1" applyFont="1" applyFill="1" applyBorder="1" applyAlignment="1">
      <alignment horizontal="center" vertical="center"/>
    </xf>
    <xf numFmtId="165" fontId="35" fillId="7" borderId="26" xfId="546" applyNumberFormat="1" applyFont="1" applyFill="1" applyBorder="1" applyAlignment="1">
      <alignment horizontal="center" vertical="center"/>
    </xf>
    <xf numFmtId="0" fontId="36" fillId="0" borderId="80" xfId="7" applyFont="1" applyBorder="1" applyAlignment="1">
      <alignment horizontal="right" vertical="center"/>
    </xf>
    <xf numFmtId="187" fontId="37" fillId="0" borderId="76" xfId="7" quotePrefix="1" applyNumberFormat="1" applyFont="1" applyBorder="1" applyAlignment="1">
      <alignment horizontal="center"/>
    </xf>
    <xf numFmtId="187" fontId="37" fillId="0" borderId="26" xfId="7" applyNumberFormat="1" applyFont="1" applyBorder="1" applyAlignment="1">
      <alignment horizontal="center"/>
    </xf>
    <xf numFmtId="187" fontId="37" fillId="0" borderId="77" xfId="7" applyNumberFormat="1" applyFont="1" applyBorder="1" applyAlignment="1">
      <alignment horizontal="center"/>
    </xf>
    <xf numFmtId="0" fontId="44" fillId="0" borderId="17" xfId="7" applyFont="1" applyBorder="1" applyAlignment="1">
      <alignment horizontal="center"/>
    </xf>
    <xf numFmtId="0" fontId="37" fillId="0" borderId="33" xfId="7" applyFont="1" applyBorder="1" applyAlignment="1">
      <alignment horizontal="center" vertical="center"/>
    </xf>
    <xf numFmtId="0" fontId="37" fillId="0" borderId="36" xfId="7" applyFont="1" applyBorder="1" applyAlignment="1">
      <alignment horizontal="center" vertical="center"/>
    </xf>
    <xf numFmtId="0" fontId="37" fillId="0" borderId="61" xfId="7" applyFont="1" applyBorder="1" applyAlignment="1">
      <alignment horizontal="center" vertical="center" wrapText="1"/>
    </xf>
    <xf numFmtId="0" fontId="37" fillId="0" borderId="62" xfId="7" applyFont="1" applyBorder="1" applyAlignment="1">
      <alignment horizontal="center" vertical="center"/>
    </xf>
    <xf numFmtId="0" fontId="37" fillId="0" borderId="62" xfId="7" applyFont="1" applyBorder="1" applyAlignment="1">
      <alignment horizontal="center" vertical="center" wrapText="1"/>
    </xf>
    <xf numFmtId="165" fontId="36" fillId="12" borderId="27" xfId="7" applyNumberFormat="1" applyFont="1" applyFill="1" applyBorder="1" applyAlignment="1">
      <alignment horizontal="center" vertical="center"/>
    </xf>
    <xf numFmtId="0" fontId="36" fillId="12" borderId="27" xfId="7" applyFont="1" applyFill="1" applyBorder="1" applyAlignment="1">
      <alignment horizontal="center" vertical="center"/>
    </xf>
    <xf numFmtId="165" fontId="35" fillId="8" borderId="76" xfId="7" applyNumberFormat="1" applyFont="1" applyFill="1" applyBorder="1" applyAlignment="1">
      <alignment horizontal="center" vertical="center"/>
    </xf>
    <xf numFmtId="0" fontId="35" fillId="8" borderId="26" xfId="7" applyFont="1" applyFill="1" applyBorder="1" applyAlignment="1">
      <alignment horizontal="center" vertical="center"/>
    </xf>
    <xf numFmtId="0" fontId="35" fillId="8" borderId="77" xfId="7" applyFont="1" applyFill="1" applyBorder="1" applyAlignment="1">
      <alignment horizontal="center" vertical="center"/>
    </xf>
    <xf numFmtId="165" fontId="37" fillId="11" borderId="27" xfId="7" applyNumberFormat="1" applyFont="1" applyFill="1" applyBorder="1" applyAlignment="1">
      <alignment horizontal="center"/>
    </xf>
    <xf numFmtId="0" fontId="37" fillId="11" borderId="27" xfId="7" applyFont="1" applyFill="1" applyBorder="1" applyAlignment="1">
      <alignment horizontal="center"/>
    </xf>
    <xf numFmtId="0" fontId="37" fillId="0" borderId="61" xfId="7" applyFont="1" applyBorder="1" applyAlignment="1">
      <alignment horizontal="center" vertical="center"/>
    </xf>
    <xf numFmtId="187" fontId="37" fillId="0" borderId="26" xfId="7" quotePrefix="1" applyNumberFormat="1" applyFont="1" applyBorder="1" applyAlignment="1">
      <alignment horizontal="center"/>
    </xf>
    <xf numFmtId="165" fontId="44" fillId="8" borderId="27" xfId="1" applyNumberFormat="1" applyFont="1" applyFill="1" applyBorder="1" applyAlignment="1">
      <alignment horizontal="center"/>
    </xf>
    <xf numFmtId="10" fontId="37" fillId="15" borderId="14" xfId="546" applyNumberFormat="1" applyFont="1" applyFill="1" applyBorder="1" applyAlignment="1">
      <alignment horizontal="center" vertical="center" wrapText="1"/>
    </xf>
    <xf numFmtId="0" fontId="37" fillId="8" borderId="127" xfId="7" applyFont="1" applyFill="1" applyBorder="1" applyAlignment="1">
      <alignment horizontal="center" vertical="center"/>
    </xf>
    <xf numFmtId="0" fontId="37" fillId="8" borderId="128" xfId="7" applyFont="1" applyFill="1" applyBorder="1" applyAlignment="1">
      <alignment horizontal="center" vertical="center"/>
    </xf>
    <xf numFmtId="0" fontId="37" fillId="8" borderId="40" xfId="9" applyNumberFormat="1" applyFont="1" applyFill="1" applyBorder="1" applyAlignment="1">
      <alignment horizontal="center" vertical="center"/>
    </xf>
    <xf numFmtId="0" fontId="37" fillId="8" borderId="39" xfId="9" applyNumberFormat="1" applyFont="1" applyFill="1" applyBorder="1" applyAlignment="1">
      <alignment horizontal="center" vertical="center"/>
    </xf>
    <xf numFmtId="0" fontId="37" fillId="8" borderId="83" xfId="9" applyNumberFormat="1" applyFont="1" applyFill="1" applyBorder="1" applyAlignment="1">
      <alignment horizontal="center" vertical="center"/>
    </xf>
    <xf numFmtId="0" fontId="37" fillId="8" borderId="37" xfId="9" applyNumberFormat="1" applyFont="1" applyFill="1" applyBorder="1" applyAlignment="1">
      <alignment horizontal="center" vertical="center"/>
    </xf>
    <xf numFmtId="0" fontId="37" fillId="8" borderId="3" xfId="9" applyNumberFormat="1" applyFont="1" applyFill="1" applyBorder="1" applyAlignment="1">
      <alignment horizontal="center" vertical="center"/>
    </xf>
    <xf numFmtId="0" fontId="37" fillId="8" borderId="38" xfId="9" applyNumberFormat="1" applyFont="1" applyFill="1" applyBorder="1" applyAlignment="1">
      <alignment horizontal="center" vertical="center"/>
    </xf>
    <xf numFmtId="43" fontId="37" fillId="8" borderId="84" xfId="9" applyFont="1" applyFill="1" applyBorder="1" applyAlignment="1">
      <alignment horizontal="center" vertical="center"/>
    </xf>
    <xf numFmtId="43" fontId="37" fillId="8" borderId="36" xfId="9" applyFont="1" applyFill="1" applyBorder="1" applyAlignment="1">
      <alignment horizontal="center" vertical="center"/>
    </xf>
  </cellXfs>
  <cellStyles count="547">
    <cellStyle name="a" xfId="19" xr:uid="{00000000-0005-0000-0000-000000000000}"/>
    <cellStyle name="Arial10" xfId="20" xr:uid="{00000000-0005-0000-0000-000001000000}"/>
    <cellStyle name="Arial10 2" xfId="322" xr:uid="{00000000-0005-0000-0000-000002000000}"/>
    <cellStyle name="Body" xfId="21" xr:uid="{00000000-0005-0000-0000-000003000000}"/>
    <cellStyle name="Calc Currency (0)" xfId="22" xr:uid="{00000000-0005-0000-0000-000004000000}"/>
    <cellStyle name="Comma" xfId="1" builtinId="3"/>
    <cellStyle name="Comma  - Style1" xfId="23" xr:uid="{00000000-0005-0000-0000-000006000000}"/>
    <cellStyle name="Comma  - Style2" xfId="24" xr:uid="{00000000-0005-0000-0000-000007000000}"/>
    <cellStyle name="Comma  - Style3" xfId="25" xr:uid="{00000000-0005-0000-0000-000008000000}"/>
    <cellStyle name="Comma  - Style4" xfId="26" xr:uid="{00000000-0005-0000-0000-000009000000}"/>
    <cellStyle name="Comma  - Style5" xfId="27" xr:uid="{00000000-0005-0000-0000-00000A000000}"/>
    <cellStyle name="Comma  - Style6" xfId="28" xr:uid="{00000000-0005-0000-0000-00000B000000}"/>
    <cellStyle name="Comma  - Style7" xfId="29" xr:uid="{00000000-0005-0000-0000-00000C000000}"/>
    <cellStyle name="Comma  - Style8" xfId="30" xr:uid="{00000000-0005-0000-0000-00000D000000}"/>
    <cellStyle name="Comma [0]" xfId="5" builtinId="6"/>
    <cellStyle name="Comma [0] 2" xfId="4" xr:uid="{00000000-0005-0000-0000-00000F000000}"/>
    <cellStyle name="Comma [0] 2 10" xfId="17" xr:uid="{00000000-0005-0000-0000-000010000000}"/>
    <cellStyle name="Comma [0] 2 10 2" xfId="320" xr:uid="{00000000-0005-0000-0000-000011000000}"/>
    <cellStyle name="Comma [0] 2 11" xfId="31" xr:uid="{00000000-0005-0000-0000-000012000000}"/>
    <cellStyle name="Comma [0] 2 11 2" xfId="323" xr:uid="{00000000-0005-0000-0000-000013000000}"/>
    <cellStyle name="Comma [0] 2 12" xfId="32" xr:uid="{00000000-0005-0000-0000-000014000000}"/>
    <cellStyle name="Comma [0] 2 12 2" xfId="324" xr:uid="{00000000-0005-0000-0000-000015000000}"/>
    <cellStyle name="Comma [0] 2 13" xfId="33" xr:uid="{00000000-0005-0000-0000-000016000000}"/>
    <cellStyle name="Comma [0] 2 13 2" xfId="325" xr:uid="{00000000-0005-0000-0000-000017000000}"/>
    <cellStyle name="Comma [0] 2 14" xfId="34" xr:uid="{00000000-0005-0000-0000-000018000000}"/>
    <cellStyle name="Comma [0] 2 14 2" xfId="326" xr:uid="{00000000-0005-0000-0000-000019000000}"/>
    <cellStyle name="Comma [0] 2 15" xfId="35" xr:uid="{00000000-0005-0000-0000-00001A000000}"/>
    <cellStyle name="Comma [0] 2 15 2" xfId="327" xr:uid="{00000000-0005-0000-0000-00001B000000}"/>
    <cellStyle name="Comma [0] 2 16" xfId="36" xr:uid="{00000000-0005-0000-0000-00001C000000}"/>
    <cellStyle name="Comma [0] 2 16 2" xfId="328" xr:uid="{00000000-0005-0000-0000-00001D000000}"/>
    <cellStyle name="Comma [0] 2 17" xfId="37" xr:uid="{00000000-0005-0000-0000-00001E000000}"/>
    <cellStyle name="Comma [0] 2 17 2" xfId="329" xr:uid="{00000000-0005-0000-0000-00001F000000}"/>
    <cellStyle name="Comma [0] 2 18" xfId="38" xr:uid="{00000000-0005-0000-0000-000020000000}"/>
    <cellStyle name="Comma [0] 2 18 2" xfId="330" xr:uid="{00000000-0005-0000-0000-000021000000}"/>
    <cellStyle name="Comma [0] 2 19" xfId="39" xr:uid="{00000000-0005-0000-0000-000022000000}"/>
    <cellStyle name="Comma [0] 2 19 2" xfId="331" xr:uid="{00000000-0005-0000-0000-000023000000}"/>
    <cellStyle name="Comma [0] 2 2" xfId="40" xr:uid="{00000000-0005-0000-0000-000024000000}"/>
    <cellStyle name="Comma [0] 2 2 10" xfId="41" xr:uid="{00000000-0005-0000-0000-000025000000}"/>
    <cellStyle name="Comma [0] 2 2 10 2" xfId="333" xr:uid="{00000000-0005-0000-0000-000026000000}"/>
    <cellStyle name="Comma [0] 2 2 11" xfId="42" xr:uid="{00000000-0005-0000-0000-000027000000}"/>
    <cellStyle name="Comma [0] 2 2 11 2" xfId="334" xr:uid="{00000000-0005-0000-0000-000028000000}"/>
    <cellStyle name="Comma [0] 2 2 12" xfId="43" xr:uid="{00000000-0005-0000-0000-000029000000}"/>
    <cellStyle name="Comma [0] 2 2 12 2" xfId="335" xr:uid="{00000000-0005-0000-0000-00002A000000}"/>
    <cellStyle name="Comma [0] 2 2 13" xfId="44" xr:uid="{00000000-0005-0000-0000-00002B000000}"/>
    <cellStyle name="Comma [0] 2 2 13 2" xfId="336" xr:uid="{00000000-0005-0000-0000-00002C000000}"/>
    <cellStyle name="Comma [0] 2 2 14" xfId="45" xr:uid="{00000000-0005-0000-0000-00002D000000}"/>
    <cellStyle name="Comma [0] 2 2 14 2" xfId="337" xr:uid="{00000000-0005-0000-0000-00002E000000}"/>
    <cellStyle name="Comma [0] 2 2 15" xfId="46" xr:uid="{00000000-0005-0000-0000-00002F000000}"/>
    <cellStyle name="Comma [0] 2 2 15 2" xfId="338" xr:uid="{00000000-0005-0000-0000-000030000000}"/>
    <cellStyle name="Comma [0] 2 2 16" xfId="47" xr:uid="{00000000-0005-0000-0000-000031000000}"/>
    <cellStyle name="Comma [0] 2 2 16 2" xfId="339" xr:uid="{00000000-0005-0000-0000-000032000000}"/>
    <cellStyle name="Comma [0] 2 2 17" xfId="48" xr:uid="{00000000-0005-0000-0000-000033000000}"/>
    <cellStyle name="Comma [0] 2 2 17 2" xfId="340" xr:uid="{00000000-0005-0000-0000-000034000000}"/>
    <cellStyle name="Comma [0] 2 2 18" xfId="49" xr:uid="{00000000-0005-0000-0000-000035000000}"/>
    <cellStyle name="Comma [0] 2 2 18 2" xfId="341" xr:uid="{00000000-0005-0000-0000-000036000000}"/>
    <cellStyle name="Comma [0] 2 2 19" xfId="50" xr:uid="{00000000-0005-0000-0000-000037000000}"/>
    <cellStyle name="Comma [0] 2 2 19 2" xfId="342" xr:uid="{00000000-0005-0000-0000-000038000000}"/>
    <cellStyle name="Comma [0] 2 2 2" xfId="18" xr:uid="{00000000-0005-0000-0000-000039000000}"/>
    <cellStyle name="Comma [0] 2 2 2 2" xfId="321" xr:uid="{00000000-0005-0000-0000-00003A000000}"/>
    <cellStyle name="Comma [0] 2 2 20" xfId="51" xr:uid="{00000000-0005-0000-0000-00003B000000}"/>
    <cellStyle name="Comma [0] 2 2 20 2" xfId="343" xr:uid="{00000000-0005-0000-0000-00003C000000}"/>
    <cellStyle name="Comma [0] 2 2 21" xfId="52" xr:uid="{00000000-0005-0000-0000-00003D000000}"/>
    <cellStyle name="Comma [0] 2 2 21 2" xfId="344" xr:uid="{00000000-0005-0000-0000-00003E000000}"/>
    <cellStyle name="Comma [0] 2 2 22" xfId="332" xr:uid="{00000000-0005-0000-0000-00003F000000}"/>
    <cellStyle name="Comma [0] 2 2 3" xfId="53" xr:uid="{00000000-0005-0000-0000-000040000000}"/>
    <cellStyle name="Comma [0] 2 2 3 2" xfId="345" xr:uid="{00000000-0005-0000-0000-000041000000}"/>
    <cellStyle name="Comma [0] 2 2 4" xfId="54" xr:uid="{00000000-0005-0000-0000-000042000000}"/>
    <cellStyle name="Comma [0] 2 2 4 2" xfId="346" xr:uid="{00000000-0005-0000-0000-000043000000}"/>
    <cellStyle name="Comma [0] 2 2 5" xfId="55" xr:uid="{00000000-0005-0000-0000-000044000000}"/>
    <cellStyle name="Comma [0] 2 2 5 2" xfId="347" xr:uid="{00000000-0005-0000-0000-000045000000}"/>
    <cellStyle name="Comma [0] 2 2 6" xfId="56" xr:uid="{00000000-0005-0000-0000-000046000000}"/>
    <cellStyle name="Comma [0] 2 2 6 2" xfId="348" xr:uid="{00000000-0005-0000-0000-000047000000}"/>
    <cellStyle name="Comma [0] 2 2 7" xfId="57" xr:uid="{00000000-0005-0000-0000-000048000000}"/>
    <cellStyle name="Comma [0] 2 2 7 2" xfId="349" xr:uid="{00000000-0005-0000-0000-000049000000}"/>
    <cellStyle name="Comma [0] 2 2 8" xfId="58" xr:uid="{00000000-0005-0000-0000-00004A000000}"/>
    <cellStyle name="Comma [0] 2 2 8 2" xfId="350" xr:uid="{00000000-0005-0000-0000-00004B000000}"/>
    <cellStyle name="Comma [0] 2 2 9" xfId="59" xr:uid="{00000000-0005-0000-0000-00004C000000}"/>
    <cellStyle name="Comma [0] 2 2 9 2" xfId="351" xr:uid="{00000000-0005-0000-0000-00004D000000}"/>
    <cellStyle name="Comma [0] 2 20" xfId="60" xr:uid="{00000000-0005-0000-0000-00004E000000}"/>
    <cellStyle name="Comma [0] 2 20 2" xfId="352" xr:uid="{00000000-0005-0000-0000-00004F000000}"/>
    <cellStyle name="Comma [0] 2 21" xfId="61" xr:uid="{00000000-0005-0000-0000-000050000000}"/>
    <cellStyle name="Comma [0] 2 21 2" xfId="353" xr:uid="{00000000-0005-0000-0000-000051000000}"/>
    <cellStyle name="Comma [0] 2 22" xfId="62" xr:uid="{00000000-0005-0000-0000-000052000000}"/>
    <cellStyle name="Comma [0] 2 22 2" xfId="354" xr:uid="{00000000-0005-0000-0000-000053000000}"/>
    <cellStyle name="Comma [0] 2 23" xfId="63" xr:uid="{00000000-0005-0000-0000-000054000000}"/>
    <cellStyle name="Comma [0] 2 23 2" xfId="355" xr:uid="{00000000-0005-0000-0000-000055000000}"/>
    <cellStyle name="Comma [0] 2 3" xfId="64" xr:uid="{00000000-0005-0000-0000-000056000000}"/>
    <cellStyle name="Comma [0] 2 3 2" xfId="356" xr:uid="{00000000-0005-0000-0000-000057000000}"/>
    <cellStyle name="Comma [0] 2 4" xfId="65" xr:uid="{00000000-0005-0000-0000-000058000000}"/>
    <cellStyle name="Comma [0] 2 4 2" xfId="357" xr:uid="{00000000-0005-0000-0000-000059000000}"/>
    <cellStyle name="Comma [0] 2 5" xfId="66" xr:uid="{00000000-0005-0000-0000-00005A000000}"/>
    <cellStyle name="Comma [0] 2 5 2" xfId="358" xr:uid="{00000000-0005-0000-0000-00005B000000}"/>
    <cellStyle name="Comma [0] 2 6" xfId="67" xr:uid="{00000000-0005-0000-0000-00005C000000}"/>
    <cellStyle name="Comma [0] 2 6 2" xfId="359" xr:uid="{00000000-0005-0000-0000-00005D000000}"/>
    <cellStyle name="Comma [0] 2 7" xfId="68" xr:uid="{00000000-0005-0000-0000-00005E000000}"/>
    <cellStyle name="Comma [0] 2 7 2" xfId="360" xr:uid="{00000000-0005-0000-0000-00005F000000}"/>
    <cellStyle name="Comma [0] 2 8" xfId="69" xr:uid="{00000000-0005-0000-0000-000060000000}"/>
    <cellStyle name="Comma [0] 2 8 2" xfId="361" xr:uid="{00000000-0005-0000-0000-000061000000}"/>
    <cellStyle name="Comma [0] 2 9" xfId="70" xr:uid="{00000000-0005-0000-0000-000062000000}"/>
    <cellStyle name="Comma [0] 2 9 2" xfId="362" xr:uid="{00000000-0005-0000-0000-000063000000}"/>
    <cellStyle name="Comma [0] 3" xfId="71" xr:uid="{00000000-0005-0000-0000-000064000000}"/>
    <cellStyle name="Comma [0] 3 10" xfId="11" xr:uid="{00000000-0005-0000-0000-000065000000}"/>
    <cellStyle name="Comma [0] 3 10 2" xfId="314" xr:uid="{00000000-0005-0000-0000-000066000000}"/>
    <cellStyle name="Comma [0] 3 11" xfId="72" xr:uid="{00000000-0005-0000-0000-000067000000}"/>
    <cellStyle name="Comma [0] 3 11 2" xfId="364" xr:uid="{00000000-0005-0000-0000-000068000000}"/>
    <cellStyle name="Comma [0] 3 12" xfId="73" xr:uid="{00000000-0005-0000-0000-000069000000}"/>
    <cellStyle name="Comma [0] 3 12 2" xfId="365" xr:uid="{00000000-0005-0000-0000-00006A000000}"/>
    <cellStyle name="Comma [0] 3 13" xfId="74" xr:uid="{00000000-0005-0000-0000-00006B000000}"/>
    <cellStyle name="Comma [0] 3 13 2" xfId="366" xr:uid="{00000000-0005-0000-0000-00006C000000}"/>
    <cellStyle name="Comma [0] 3 14" xfId="75" xr:uid="{00000000-0005-0000-0000-00006D000000}"/>
    <cellStyle name="Comma [0] 3 14 2" xfId="367" xr:uid="{00000000-0005-0000-0000-00006E000000}"/>
    <cellStyle name="Comma [0] 3 15" xfId="76" xr:uid="{00000000-0005-0000-0000-00006F000000}"/>
    <cellStyle name="Comma [0] 3 15 2" xfId="368" xr:uid="{00000000-0005-0000-0000-000070000000}"/>
    <cellStyle name="Comma [0] 3 16" xfId="77" xr:uid="{00000000-0005-0000-0000-000071000000}"/>
    <cellStyle name="Comma [0] 3 16 2" xfId="369" xr:uid="{00000000-0005-0000-0000-000072000000}"/>
    <cellStyle name="Comma [0] 3 17" xfId="363" xr:uid="{00000000-0005-0000-0000-000073000000}"/>
    <cellStyle name="Comma [0] 3 2" xfId="78" xr:uid="{00000000-0005-0000-0000-000074000000}"/>
    <cellStyle name="Comma [0] 3 2 10" xfId="79" xr:uid="{00000000-0005-0000-0000-000075000000}"/>
    <cellStyle name="Comma [0] 3 2 10 2" xfId="371" xr:uid="{00000000-0005-0000-0000-000076000000}"/>
    <cellStyle name="Comma [0] 3 2 11" xfId="80" xr:uid="{00000000-0005-0000-0000-000077000000}"/>
    <cellStyle name="Comma [0] 3 2 11 2" xfId="372" xr:uid="{00000000-0005-0000-0000-000078000000}"/>
    <cellStyle name="Comma [0] 3 2 12" xfId="81" xr:uid="{00000000-0005-0000-0000-000079000000}"/>
    <cellStyle name="Comma [0] 3 2 12 2" xfId="373" xr:uid="{00000000-0005-0000-0000-00007A000000}"/>
    <cellStyle name="Comma [0] 3 2 13" xfId="82" xr:uid="{00000000-0005-0000-0000-00007B000000}"/>
    <cellStyle name="Comma [0] 3 2 13 2" xfId="374" xr:uid="{00000000-0005-0000-0000-00007C000000}"/>
    <cellStyle name="Comma [0] 3 2 14" xfId="83" xr:uid="{00000000-0005-0000-0000-00007D000000}"/>
    <cellStyle name="Comma [0] 3 2 14 2" xfId="375" xr:uid="{00000000-0005-0000-0000-00007E000000}"/>
    <cellStyle name="Comma [0] 3 2 15" xfId="84" xr:uid="{00000000-0005-0000-0000-00007F000000}"/>
    <cellStyle name="Comma [0] 3 2 15 2" xfId="376" xr:uid="{00000000-0005-0000-0000-000080000000}"/>
    <cellStyle name="Comma [0] 3 2 16" xfId="85" xr:uid="{00000000-0005-0000-0000-000081000000}"/>
    <cellStyle name="Comma [0] 3 2 16 2" xfId="377" xr:uid="{00000000-0005-0000-0000-000082000000}"/>
    <cellStyle name="Comma [0] 3 2 17" xfId="86" xr:uid="{00000000-0005-0000-0000-000083000000}"/>
    <cellStyle name="Comma [0] 3 2 17 2" xfId="378" xr:uid="{00000000-0005-0000-0000-000084000000}"/>
    <cellStyle name="Comma [0] 3 2 18" xfId="87" xr:uid="{00000000-0005-0000-0000-000085000000}"/>
    <cellStyle name="Comma [0] 3 2 18 2" xfId="379" xr:uid="{00000000-0005-0000-0000-000086000000}"/>
    <cellStyle name="Comma [0] 3 2 19" xfId="88" xr:uid="{00000000-0005-0000-0000-000087000000}"/>
    <cellStyle name="Comma [0] 3 2 19 2" xfId="380" xr:uid="{00000000-0005-0000-0000-000088000000}"/>
    <cellStyle name="Comma [0] 3 2 2" xfId="15" xr:uid="{00000000-0005-0000-0000-000089000000}"/>
    <cellStyle name="Comma [0] 3 2 2 2" xfId="318" xr:uid="{00000000-0005-0000-0000-00008A000000}"/>
    <cellStyle name="Comma [0] 3 2 20" xfId="89" xr:uid="{00000000-0005-0000-0000-00008B000000}"/>
    <cellStyle name="Comma [0] 3 2 20 2" xfId="381" xr:uid="{00000000-0005-0000-0000-00008C000000}"/>
    <cellStyle name="Comma [0] 3 2 21" xfId="90" xr:uid="{00000000-0005-0000-0000-00008D000000}"/>
    <cellStyle name="Comma [0] 3 2 21 2" xfId="382" xr:uid="{00000000-0005-0000-0000-00008E000000}"/>
    <cellStyle name="Comma [0] 3 2 22" xfId="91" xr:uid="{00000000-0005-0000-0000-00008F000000}"/>
    <cellStyle name="Comma [0] 3 2 22 2" xfId="383" xr:uid="{00000000-0005-0000-0000-000090000000}"/>
    <cellStyle name="Comma [0] 3 2 23" xfId="370" xr:uid="{00000000-0005-0000-0000-000091000000}"/>
    <cellStyle name="Comma [0] 3 2 3" xfId="92" xr:uid="{00000000-0005-0000-0000-000092000000}"/>
    <cellStyle name="Comma [0] 3 2 3 2" xfId="384" xr:uid="{00000000-0005-0000-0000-000093000000}"/>
    <cellStyle name="Comma [0] 3 2 4" xfId="93" xr:uid="{00000000-0005-0000-0000-000094000000}"/>
    <cellStyle name="Comma [0] 3 2 4 2" xfId="385" xr:uid="{00000000-0005-0000-0000-000095000000}"/>
    <cellStyle name="Comma [0] 3 2 5" xfId="94" xr:uid="{00000000-0005-0000-0000-000096000000}"/>
    <cellStyle name="Comma [0] 3 2 5 2" xfId="386" xr:uid="{00000000-0005-0000-0000-000097000000}"/>
    <cellStyle name="Comma [0] 3 2 6" xfId="95" xr:uid="{00000000-0005-0000-0000-000098000000}"/>
    <cellStyle name="Comma [0] 3 2 6 2" xfId="387" xr:uid="{00000000-0005-0000-0000-000099000000}"/>
    <cellStyle name="Comma [0] 3 2 7" xfId="96" xr:uid="{00000000-0005-0000-0000-00009A000000}"/>
    <cellStyle name="Comma [0] 3 2 7 2" xfId="388" xr:uid="{00000000-0005-0000-0000-00009B000000}"/>
    <cellStyle name="Comma [0] 3 2 8" xfId="97" xr:uid="{00000000-0005-0000-0000-00009C000000}"/>
    <cellStyle name="Comma [0] 3 2 8 2" xfId="389" xr:uid="{00000000-0005-0000-0000-00009D000000}"/>
    <cellStyle name="Comma [0] 3 2 9" xfId="98" xr:uid="{00000000-0005-0000-0000-00009E000000}"/>
    <cellStyle name="Comma [0] 3 2 9 2" xfId="390" xr:uid="{00000000-0005-0000-0000-00009F000000}"/>
    <cellStyle name="Comma [0] 3 3" xfId="99" xr:uid="{00000000-0005-0000-0000-0000A0000000}"/>
    <cellStyle name="Comma [0] 3 3 2" xfId="391" xr:uid="{00000000-0005-0000-0000-0000A1000000}"/>
    <cellStyle name="Comma [0] 3 4" xfId="100" xr:uid="{00000000-0005-0000-0000-0000A2000000}"/>
    <cellStyle name="Comma [0] 3 4 2" xfId="392" xr:uid="{00000000-0005-0000-0000-0000A3000000}"/>
    <cellStyle name="Comma [0] 3 5" xfId="101" xr:uid="{00000000-0005-0000-0000-0000A4000000}"/>
    <cellStyle name="Comma [0] 3 5 2" xfId="393" xr:uid="{00000000-0005-0000-0000-0000A5000000}"/>
    <cellStyle name="Comma [0] 3 6" xfId="102" xr:uid="{00000000-0005-0000-0000-0000A6000000}"/>
    <cellStyle name="Comma [0] 3 6 2" xfId="394" xr:uid="{00000000-0005-0000-0000-0000A7000000}"/>
    <cellStyle name="Comma [0] 3 7" xfId="103" xr:uid="{00000000-0005-0000-0000-0000A8000000}"/>
    <cellStyle name="Comma [0] 3 7 2" xfId="395" xr:uid="{00000000-0005-0000-0000-0000A9000000}"/>
    <cellStyle name="Comma [0] 3 8" xfId="104" xr:uid="{00000000-0005-0000-0000-0000AA000000}"/>
    <cellStyle name="Comma [0] 3 8 2" xfId="396" xr:uid="{00000000-0005-0000-0000-0000AB000000}"/>
    <cellStyle name="Comma [0] 3 9" xfId="105" xr:uid="{00000000-0005-0000-0000-0000AC000000}"/>
    <cellStyle name="Comma [0] 3 9 2" xfId="397" xr:uid="{00000000-0005-0000-0000-0000AD000000}"/>
    <cellStyle name="Comma [0] 4" xfId="106" xr:uid="{00000000-0005-0000-0000-0000AE000000}"/>
    <cellStyle name="Comma [0] 4 10" xfId="107" xr:uid="{00000000-0005-0000-0000-0000AF000000}"/>
    <cellStyle name="Comma [0] 4 10 2" xfId="399" xr:uid="{00000000-0005-0000-0000-0000B0000000}"/>
    <cellStyle name="Comma [0] 4 11" xfId="108" xr:uid="{00000000-0005-0000-0000-0000B1000000}"/>
    <cellStyle name="Comma [0] 4 11 2" xfId="400" xr:uid="{00000000-0005-0000-0000-0000B2000000}"/>
    <cellStyle name="Comma [0] 4 12" xfId="109" xr:uid="{00000000-0005-0000-0000-0000B3000000}"/>
    <cellStyle name="Comma [0] 4 12 2" xfId="401" xr:uid="{00000000-0005-0000-0000-0000B4000000}"/>
    <cellStyle name="Comma [0] 4 13" xfId="110" xr:uid="{00000000-0005-0000-0000-0000B5000000}"/>
    <cellStyle name="Comma [0] 4 13 2" xfId="402" xr:uid="{00000000-0005-0000-0000-0000B6000000}"/>
    <cellStyle name="Comma [0] 4 14" xfId="111" xr:uid="{00000000-0005-0000-0000-0000B7000000}"/>
    <cellStyle name="Comma [0] 4 14 2" xfId="403" xr:uid="{00000000-0005-0000-0000-0000B8000000}"/>
    <cellStyle name="Comma [0] 4 15" xfId="398" xr:uid="{00000000-0005-0000-0000-0000B9000000}"/>
    <cellStyle name="Comma [0] 4 2" xfId="112" xr:uid="{00000000-0005-0000-0000-0000BA000000}"/>
    <cellStyle name="Comma [0] 4 2 2" xfId="404" xr:uid="{00000000-0005-0000-0000-0000BB000000}"/>
    <cellStyle name="Comma [0] 4 3" xfId="113" xr:uid="{00000000-0005-0000-0000-0000BC000000}"/>
    <cellStyle name="Comma [0] 4 3 2" xfId="405" xr:uid="{00000000-0005-0000-0000-0000BD000000}"/>
    <cellStyle name="Comma [0] 4 4" xfId="114" xr:uid="{00000000-0005-0000-0000-0000BE000000}"/>
    <cellStyle name="Comma [0] 4 4 2" xfId="406" xr:uid="{00000000-0005-0000-0000-0000BF000000}"/>
    <cellStyle name="Comma [0] 4 5" xfId="115" xr:uid="{00000000-0005-0000-0000-0000C0000000}"/>
    <cellStyle name="Comma [0] 4 5 2" xfId="407" xr:uid="{00000000-0005-0000-0000-0000C1000000}"/>
    <cellStyle name="Comma [0] 4 6" xfId="116" xr:uid="{00000000-0005-0000-0000-0000C2000000}"/>
    <cellStyle name="Comma [0] 4 6 2" xfId="408" xr:uid="{00000000-0005-0000-0000-0000C3000000}"/>
    <cellStyle name="Comma [0] 4 7" xfId="117" xr:uid="{00000000-0005-0000-0000-0000C4000000}"/>
    <cellStyle name="Comma [0] 4 7 2" xfId="409" xr:uid="{00000000-0005-0000-0000-0000C5000000}"/>
    <cellStyle name="Comma [0] 4 8" xfId="118" xr:uid="{00000000-0005-0000-0000-0000C6000000}"/>
    <cellStyle name="Comma [0] 4 8 2" xfId="410" xr:uid="{00000000-0005-0000-0000-0000C7000000}"/>
    <cellStyle name="Comma [0] 4 9" xfId="119" xr:uid="{00000000-0005-0000-0000-0000C8000000}"/>
    <cellStyle name="Comma [0] 4 9 2" xfId="411" xr:uid="{00000000-0005-0000-0000-0000C9000000}"/>
    <cellStyle name="Comma [0] 5" xfId="120" xr:uid="{00000000-0005-0000-0000-0000CA000000}"/>
    <cellStyle name="Comma [0] 5 2" xfId="121" xr:uid="{00000000-0005-0000-0000-0000CB000000}"/>
    <cellStyle name="Comma [0] 5 2 2" xfId="122" xr:uid="{00000000-0005-0000-0000-0000CC000000}"/>
    <cellStyle name="Comma [0] 5 2 2 2" xfId="123" xr:uid="{00000000-0005-0000-0000-0000CD000000}"/>
    <cellStyle name="Comma [0] 5 3" xfId="124" xr:uid="{00000000-0005-0000-0000-0000CE000000}"/>
    <cellStyle name="Comma [0] 5 4" xfId="412" xr:uid="{00000000-0005-0000-0000-0000CF000000}"/>
    <cellStyle name="Comma [0] 6" xfId="125" xr:uid="{00000000-0005-0000-0000-0000D0000000}"/>
    <cellStyle name="Comma [0] 6 2" xfId="413" xr:uid="{00000000-0005-0000-0000-0000D1000000}"/>
    <cellStyle name="Comma [0] 7" xfId="126" xr:uid="{00000000-0005-0000-0000-0000D2000000}"/>
    <cellStyle name="Comma [0] 7 2" xfId="127" xr:uid="{00000000-0005-0000-0000-0000D3000000}"/>
    <cellStyle name="Comma [0] 7 2 2" xfId="415" xr:uid="{00000000-0005-0000-0000-0000D4000000}"/>
    <cellStyle name="Comma [0] 7 3" xfId="414" xr:uid="{00000000-0005-0000-0000-0000D5000000}"/>
    <cellStyle name="Comma 10" xfId="128" xr:uid="{00000000-0005-0000-0000-0000D6000000}"/>
    <cellStyle name="Comma 10 2" xfId="416" xr:uid="{00000000-0005-0000-0000-0000D7000000}"/>
    <cellStyle name="Comma 10 2 2" xfId="129" xr:uid="{00000000-0005-0000-0000-0000D8000000}"/>
    <cellStyle name="Comma 10 2 2 2" xfId="417" xr:uid="{00000000-0005-0000-0000-0000D9000000}"/>
    <cellStyle name="Comma 12" xfId="130" xr:uid="{00000000-0005-0000-0000-0000DA000000}"/>
    <cellStyle name="Comma 2" xfId="3" xr:uid="{00000000-0005-0000-0000-0000DB000000}"/>
    <cellStyle name="Comma 2 10" xfId="131" xr:uid="{00000000-0005-0000-0000-0000DC000000}"/>
    <cellStyle name="Comma 2 10 2" xfId="418" xr:uid="{00000000-0005-0000-0000-0000DD000000}"/>
    <cellStyle name="Comma 2 11" xfId="132" xr:uid="{00000000-0005-0000-0000-0000DE000000}"/>
    <cellStyle name="Comma 2 11 2" xfId="419" xr:uid="{00000000-0005-0000-0000-0000DF000000}"/>
    <cellStyle name="Comma 2 12" xfId="133" xr:uid="{00000000-0005-0000-0000-0000E0000000}"/>
    <cellStyle name="Comma 2 12 2" xfId="420" xr:uid="{00000000-0005-0000-0000-0000E1000000}"/>
    <cellStyle name="Comma 2 13" xfId="134" xr:uid="{00000000-0005-0000-0000-0000E2000000}"/>
    <cellStyle name="Comma 2 13 2" xfId="421" xr:uid="{00000000-0005-0000-0000-0000E3000000}"/>
    <cellStyle name="Comma 2 14" xfId="135" xr:uid="{00000000-0005-0000-0000-0000E4000000}"/>
    <cellStyle name="Comma 2 14 2" xfId="422" xr:uid="{00000000-0005-0000-0000-0000E5000000}"/>
    <cellStyle name="Comma 2 15" xfId="136" xr:uid="{00000000-0005-0000-0000-0000E6000000}"/>
    <cellStyle name="Comma 2 15 2" xfId="423" xr:uid="{00000000-0005-0000-0000-0000E7000000}"/>
    <cellStyle name="Comma 2 16" xfId="137" xr:uid="{00000000-0005-0000-0000-0000E8000000}"/>
    <cellStyle name="Comma 2 16 2" xfId="424" xr:uid="{00000000-0005-0000-0000-0000E9000000}"/>
    <cellStyle name="Comma 2 17" xfId="138" xr:uid="{00000000-0005-0000-0000-0000EA000000}"/>
    <cellStyle name="Comma 2 17 2" xfId="425" xr:uid="{00000000-0005-0000-0000-0000EB000000}"/>
    <cellStyle name="Comma 2 18" xfId="139" xr:uid="{00000000-0005-0000-0000-0000EC000000}"/>
    <cellStyle name="Comma 2 18 2" xfId="426" xr:uid="{00000000-0005-0000-0000-0000ED000000}"/>
    <cellStyle name="Comma 2 19" xfId="140" xr:uid="{00000000-0005-0000-0000-0000EE000000}"/>
    <cellStyle name="Comma 2 19 2" xfId="427" xr:uid="{00000000-0005-0000-0000-0000EF000000}"/>
    <cellStyle name="Comma 2 2" xfId="10" xr:uid="{00000000-0005-0000-0000-0000F0000000}"/>
    <cellStyle name="Comma 2 2 2" xfId="313" xr:uid="{00000000-0005-0000-0000-0000F1000000}"/>
    <cellStyle name="Comma 2 20" xfId="141" xr:uid="{00000000-0005-0000-0000-0000F2000000}"/>
    <cellStyle name="Comma 2 20 2" xfId="428" xr:uid="{00000000-0005-0000-0000-0000F3000000}"/>
    <cellStyle name="Comma 2 21" xfId="142" xr:uid="{00000000-0005-0000-0000-0000F4000000}"/>
    <cellStyle name="Comma 2 21 2" xfId="429" xr:uid="{00000000-0005-0000-0000-0000F5000000}"/>
    <cellStyle name="Comma 2 22" xfId="143" xr:uid="{00000000-0005-0000-0000-0000F6000000}"/>
    <cellStyle name="Comma 2 22 2" xfId="430" xr:uid="{00000000-0005-0000-0000-0000F7000000}"/>
    <cellStyle name="Comma 2 3" xfId="144" xr:uid="{00000000-0005-0000-0000-0000F8000000}"/>
    <cellStyle name="Comma 2 3 2" xfId="431" xr:uid="{00000000-0005-0000-0000-0000F9000000}"/>
    <cellStyle name="Comma 2 4" xfId="145" xr:uid="{00000000-0005-0000-0000-0000FA000000}"/>
    <cellStyle name="Comma 2 4 2" xfId="432" xr:uid="{00000000-0005-0000-0000-0000FB000000}"/>
    <cellStyle name="Comma 2 5" xfId="146" xr:uid="{00000000-0005-0000-0000-0000FC000000}"/>
    <cellStyle name="Comma 2 5 2" xfId="433" xr:uid="{00000000-0005-0000-0000-0000FD000000}"/>
    <cellStyle name="Comma 2 6" xfId="147" xr:uid="{00000000-0005-0000-0000-0000FE000000}"/>
    <cellStyle name="Comma 2 6 2" xfId="434" xr:uid="{00000000-0005-0000-0000-0000FF000000}"/>
    <cellStyle name="Comma 2 7" xfId="148" xr:uid="{00000000-0005-0000-0000-000000010000}"/>
    <cellStyle name="Comma 2 7 2" xfId="435" xr:uid="{00000000-0005-0000-0000-000001010000}"/>
    <cellStyle name="Comma 2 8" xfId="149" xr:uid="{00000000-0005-0000-0000-000002010000}"/>
    <cellStyle name="Comma 2 8 2" xfId="436" xr:uid="{00000000-0005-0000-0000-000003010000}"/>
    <cellStyle name="Comma 2 9" xfId="150" xr:uid="{00000000-0005-0000-0000-000004010000}"/>
    <cellStyle name="Comma 2 9 2" xfId="437" xr:uid="{00000000-0005-0000-0000-000005010000}"/>
    <cellStyle name="Comma 3" xfId="8" xr:uid="{00000000-0005-0000-0000-000006010000}"/>
    <cellStyle name="Comma 3 10" xfId="9" xr:uid="{00000000-0005-0000-0000-000007010000}"/>
    <cellStyle name="Comma 3 10 2" xfId="312" xr:uid="{00000000-0005-0000-0000-000008010000}"/>
    <cellStyle name="Comma 3 11" xfId="151" xr:uid="{00000000-0005-0000-0000-000009010000}"/>
    <cellStyle name="Comma 3 11 2" xfId="438" xr:uid="{00000000-0005-0000-0000-00000A010000}"/>
    <cellStyle name="Comma 3 12" xfId="152" xr:uid="{00000000-0005-0000-0000-00000B010000}"/>
    <cellStyle name="Comma 3 12 2" xfId="439" xr:uid="{00000000-0005-0000-0000-00000C010000}"/>
    <cellStyle name="Comma 3 13" xfId="153" xr:uid="{00000000-0005-0000-0000-00000D010000}"/>
    <cellStyle name="Comma 3 13 2" xfId="440" xr:uid="{00000000-0005-0000-0000-00000E010000}"/>
    <cellStyle name="Comma 3 14" xfId="154" xr:uid="{00000000-0005-0000-0000-00000F010000}"/>
    <cellStyle name="Comma 3 14 2" xfId="441" xr:uid="{00000000-0005-0000-0000-000010010000}"/>
    <cellStyle name="Comma 3 15" xfId="155" xr:uid="{00000000-0005-0000-0000-000011010000}"/>
    <cellStyle name="Comma 3 15 2" xfId="442" xr:uid="{00000000-0005-0000-0000-000012010000}"/>
    <cellStyle name="Comma 3 16" xfId="156" xr:uid="{00000000-0005-0000-0000-000013010000}"/>
    <cellStyle name="Comma 3 16 2" xfId="443" xr:uid="{00000000-0005-0000-0000-000014010000}"/>
    <cellStyle name="Comma 3 17" xfId="311" xr:uid="{00000000-0005-0000-0000-000015010000}"/>
    <cellStyle name="Comma 3 2" xfId="157" xr:uid="{00000000-0005-0000-0000-000016010000}"/>
    <cellStyle name="Comma 3 2 10" xfId="158" xr:uid="{00000000-0005-0000-0000-000017010000}"/>
    <cellStyle name="Comma 3 2 10 2" xfId="445" xr:uid="{00000000-0005-0000-0000-000018010000}"/>
    <cellStyle name="Comma 3 2 11" xfId="159" xr:uid="{00000000-0005-0000-0000-000019010000}"/>
    <cellStyle name="Comma 3 2 11 2" xfId="446" xr:uid="{00000000-0005-0000-0000-00001A010000}"/>
    <cellStyle name="Comma 3 2 12" xfId="160" xr:uid="{00000000-0005-0000-0000-00001B010000}"/>
    <cellStyle name="Comma 3 2 12 2" xfId="447" xr:uid="{00000000-0005-0000-0000-00001C010000}"/>
    <cellStyle name="Comma 3 2 13" xfId="161" xr:uid="{00000000-0005-0000-0000-00001D010000}"/>
    <cellStyle name="Comma 3 2 13 2" xfId="448" xr:uid="{00000000-0005-0000-0000-00001E010000}"/>
    <cellStyle name="Comma 3 2 14" xfId="162" xr:uid="{00000000-0005-0000-0000-00001F010000}"/>
    <cellStyle name="Comma 3 2 14 2" xfId="449" xr:uid="{00000000-0005-0000-0000-000020010000}"/>
    <cellStyle name="Comma 3 2 15" xfId="163" xr:uid="{00000000-0005-0000-0000-000021010000}"/>
    <cellStyle name="Comma 3 2 15 2" xfId="450" xr:uid="{00000000-0005-0000-0000-000022010000}"/>
    <cellStyle name="Comma 3 2 16" xfId="164" xr:uid="{00000000-0005-0000-0000-000023010000}"/>
    <cellStyle name="Comma 3 2 16 2" xfId="451" xr:uid="{00000000-0005-0000-0000-000024010000}"/>
    <cellStyle name="Comma 3 2 17" xfId="165" xr:uid="{00000000-0005-0000-0000-000025010000}"/>
    <cellStyle name="Comma 3 2 17 2" xfId="452" xr:uid="{00000000-0005-0000-0000-000026010000}"/>
    <cellStyle name="Comma 3 2 18" xfId="166" xr:uid="{00000000-0005-0000-0000-000027010000}"/>
    <cellStyle name="Comma 3 2 18 2" xfId="453" xr:uid="{00000000-0005-0000-0000-000028010000}"/>
    <cellStyle name="Comma 3 2 19" xfId="167" xr:uid="{00000000-0005-0000-0000-000029010000}"/>
    <cellStyle name="Comma 3 2 19 2" xfId="454" xr:uid="{00000000-0005-0000-0000-00002A010000}"/>
    <cellStyle name="Comma 3 2 2" xfId="14" xr:uid="{00000000-0005-0000-0000-00002B010000}"/>
    <cellStyle name="Comma 3 2 2 2" xfId="317" xr:uid="{00000000-0005-0000-0000-00002C010000}"/>
    <cellStyle name="Comma 3 2 20" xfId="168" xr:uid="{00000000-0005-0000-0000-00002D010000}"/>
    <cellStyle name="Comma 3 2 20 2" xfId="455" xr:uid="{00000000-0005-0000-0000-00002E010000}"/>
    <cellStyle name="Comma 3 2 21" xfId="169" xr:uid="{00000000-0005-0000-0000-00002F010000}"/>
    <cellStyle name="Comma 3 2 21 2" xfId="456" xr:uid="{00000000-0005-0000-0000-000030010000}"/>
    <cellStyle name="Comma 3 2 22" xfId="170" xr:uid="{00000000-0005-0000-0000-000031010000}"/>
    <cellStyle name="Comma 3 2 22 2" xfId="457" xr:uid="{00000000-0005-0000-0000-000032010000}"/>
    <cellStyle name="Comma 3 2 23" xfId="444" xr:uid="{00000000-0005-0000-0000-000033010000}"/>
    <cellStyle name="Comma 3 2 3" xfId="171" xr:uid="{00000000-0005-0000-0000-000034010000}"/>
    <cellStyle name="Comma 3 2 3 2" xfId="458" xr:uid="{00000000-0005-0000-0000-000035010000}"/>
    <cellStyle name="Comma 3 2 4" xfId="172" xr:uid="{00000000-0005-0000-0000-000036010000}"/>
    <cellStyle name="Comma 3 2 4 2" xfId="459" xr:uid="{00000000-0005-0000-0000-000037010000}"/>
    <cellStyle name="Comma 3 2 5" xfId="173" xr:uid="{00000000-0005-0000-0000-000038010000}"/>
    <cellStyle name="Comma 3 2 5 2" xfId="460" xr:uid="{00000000-0005-0000-0000-000039010000}"/>
    <cellStyle name="Comma 3 2 6" xfId="174" xr:uid="{00000000-0005-0000-0000-00003A010000}"/>
    <cellStyle name="Comma 3 2 6 2" xfId="461" xr:uid="{00000000-0005-0000-0000-00003B010000}"/>
    <cellStyle name="Comma 3 2 7" xfId="175" xr:uid="{00000000-0005-0000-0000-00003C010000}"/>
    <cellStyle name="Comma 3 2 7 2" xfId="462" xr:uid="{00000000-0005-0000-0000-00003D010000}"/>
    <cellStyle name="Comma 3 2 8" xfId="176" xr:uid="{00000000-0005-0000-0000-00003E010000}"/>
    <cellStyle name="Comma 3 2 8 2" xfId="463" xr:uid="{00000000-0005-0000-0000-00003F010000}"/>
    <cellStyle name="Comma 3 2 9" xfId="177" xr:uid="{00000000-0005-0000-0000-000040010000}"/>
    <cellStyle name="Comma 3 2 9 2" xfId="464" xr:uid="{00000000-0005-0000-0000-000041010000}"/>
    <cellStyle name="Comma 3 3" xfId="178" xr:uid="{00000000-0005-0000-0000-000042010000}"/>
    <cellStyle name="Comma 3 3 2" xfId="179" xr:uid="{00000000-0005-0000-0000-000043010000}"/>
    <cellStyle name="Comma 3 3 3" xfId="465" xr:uid="{00000000-0005-0000-0000-000044010000}"/>
    <cellStyle name="Comma 3 4" xfId="180" xr:uid="{00000000-0005-0000-0000-000045010000}"/>
    <cellStyle name="Comma 3 4 2" xfId="466" xr:uid="{00000000-0005-0000-0000-000046010000}"/>
    <cellStyle name="Comma 3 5" xfId="181" xr:uid="{00000000-0005-0000-0000-000047010000}"/>
    <cellStyle name="Comma 3 5 2" xfId="467" xr:uid="{00000000-0005-0000-0000-000048010000}"/>
    <cellStyle name="Comma 3 6" xfId="182" xr:uid="{00000000-0005-0000-0000-000049010000}"/>
    <cellStyle name="Comma 3 6 2" xfId="468" xr:uid="{00000000-0005-0000-0000-00004A010000}"/>
    <cellStyle name="Comma 3 7" xfId="183" xr:uid="{00000000-0005-0000-0000-00004B010000}"/>
    <cellStyle name="Comma 3 7 2" xfId="469" xr:uid="{00000000-0005-0000-0000-00004C010000}"/>
    <cellStyle name="Comma 3 8" xfId="184" xr:uid="{00000000-0005-0000-0000-00004D010000}"/>
    <cellStyle name="Comma 3 8 2" xfId="470" xr:uid="{00000000-0005-0000-0000-00004E010000}"/>
    <cellStyle name="Comma 3 9" xfId="185" xr:uid="{00000000-0005-0000-0000-00004F010000}"/>
    <cellStyle name="Comma 3 9 2" xfId="471" xr:uid="{00000000-0005-0000-0000-000050010000}"/>
    <cellStyle name="Comma 4" xfId="186" xr:uid="{00000000-0005-0000-0000-000051010000}"/>
    <cellStyle name="Comma 4 10" xfId="12" xr:uid="{00000000-0005-0000-0000-000052010000}"/>
    <cellStyle name="Comma 4 10 2" xfId="315" xr:uid="{00000000-0005-0000-0000-000053010000}"/>
    <cellStyle name="Comma 4 11" xfId="187" xr:uid="{00000000-0005-0000-0000-000054010000}"/>
    <cellStyle name="Comma 4 11 2" xfId="473" xr:uid="{00000000-0005-0000-0000-000055010000}"/>
    <cellStyle name="Comma 4 12" xfId="188" xr:uid="{00000000-0005-0000-0000-000056010000}"/>
    <cellStyle name="Comma 4 12 2" xfId="474" xr:uid="{00000000-0005-0000-0000-000057010000}"/>
    <cellStyle name="Comma 4 13" xfId="189" xr:uid="{00000000-0005-0000-0000-000058010000}"/>
    <cellStyle name="Comma 4 13 2" xfId="475" xr:uid="{00000000-0005-0000-0000-000059010000}"/>
    <cellStyle name="Comma 4 14" xfId="190" xr:uid="{00000000-0005-0000-0000-00005A010000}"/>
    <cellStyle name="Comma 4 14 2" xfId="476" xr:uid="{00000000-0005-0000-0000-00005B010000}"/>
    <cellStyle name="Comma 4 15" xfId="472" xr:uid="{00000000-0005-0000-0000-00005C010000}"/>
    <cellStyle name="Comma 4 2" xfId="191" xr:uid="{00000000-0005-0000-0000-00005D010000}"/>
    <cellStyle name="Comma 4 2 2" xfId="477" xr:uid="{00000000-0005-0000-0000-00005E010000}"/>
    <cellStyle name="Comma 4 3" xfId="192" xr:uid="{00000000-0005-0000-0000-00005F010000}"/>
    <cellStyle name="Comma 4 3 2" xfId="478" xr:uid="{00000000-0005-0000-0000-000060010000}"/>
    <cellStyle name="Comma 4 4" xfId="193" xr:uid="{00000000-0005-0000-0000-000061010000}"/>
    <cellStyle name="Comma 4 4 2" xfId="479" xr:uid="{00000000-0005-0000-0000-000062010000}"/>
    <cellStyle name="Comma 4 5" xfId="194" xr:uid="{00000000-0005-0000-0000-000063010000}"/>
    <cellStyle name="Comma 4 5 2" xfId="480" xr:uid="{00000000-0005-0000-0000-000064010000}"/>
    <cellStyle name="Comma 4 6" xfId="195" xr:uid="{00000000-0005-0000-0000-000065010000}"/>
    <cellStyle name="Comma 4 6 2" xfId="481" xr:uid="{00000000-0005-0000-0000-000066010000}"/>
    <cellStyle name="Comma 4 7" xfId="196" xr:uid="{00000000-0005-0000-0000-000067010000}"/>
    <cellStyle name="Comma 4 7 2" xfId="482" xr:uid="{00000000-0005-0000-0000-000068010000}"/>
    <cellStyle name="Comma 4 8" xfId="197" xr:uid="{00000000-0005-0000-0000-000069010000}"/>
    <cellStyle name="Comma 4 8 2" xfId="483" xr:uid="{00000000-0005-0000-0000-00006A010000}"/>
    <cellStyle name="Comma 4 9" xfId="198" xr:uid="{00000000-0005-0000-0000-00006B010000}"/>
    <cellStyle name="Comma 4 9 2" xfId="484" xr:uid="{00000000-0005-0000-0000-00006C010000}"/>
    <cellStyle name="Comma 5" xfId="199" xr:uid="{00000000-0005-0000-0000-00006D010000}"/>
    <cellStyle name="Comma 5 2" xfId="200" xr:uid="{00000000-0005-0000-0000-00006E010000}"/>
    <cellStyle name="Comma 5 2 2" xfId="486" xr:uid="{00000000-0005-0000-0000-00006F010000}"/>
    <cellStyle name="Comma 5 3" xfId="485" xr:uid="{00000000-0005-0000-0000-000070010000}"/>
    <cellStyle name="Comma 6" xfId="201" xr:uid="{00000000-0005-0000-0000-000071010000}"/>
    <cellStyle name="Comma 6 2" xfId="487" xr:uid="{00000000-0005-0000-0000-000072010000}"/>
    <cellStyle name="Comma 7" xfId="202" xr:uid="{00000000-0005-0000-0000-000073010000}"/>
    <cellStyle name="Comma 7 2" xfId="488" xr:uid="{00000000-0005-0000-0000-000074010000}"/>
    <cellStyle name="Comma 8" xfId="203" xr:uid="{00000000-0005-0000-0000-000075010000}"/>
    <cellStyle name="Comma 8 2" xfId="489" xr:uid="{00000000-0005-0000-0000-000076010000}"/>
    <cellStyle name="Comma0" xfId="204" xr:uid="{00000000-0005-0000-0000-000077010000}"/>
    <cellStyle name="Comma0 2" xfId="490" xr:uid="{00000000-0005-0000-0000-000078010000}"/>
    <cellStyle name="Copied" xfId="205" xr:uid="{00000000-0005-0000-0000-000079010000}"/>
    <cellStyle name="Currency [0] 2" xfId="206" xr:uid="{00000000-0005-0000-0000-00007A010000}"/>
    <cellStyle name="Currency [0] 2 2" xfId="491" xr:uid="{00000000-0005-0000-0000-00007B010000}"/>
    <cellStyle name="Currency 2" xfId="207" xr:uid="{00000000-0005-0000-0000-00007C010000}"/>
    <cellStyle name="Currency 2 2" xfId="492" xr:uid="{00000000-0005-0000-0000-00007D010000}"/>
    <cellStyle name="Currency0" xfId="208" xr:uid="{00000000-0005-0000-0000-00007E010000}"/>
    <cellStyle name="Currency0 2" xfId="493" xr:uid="{00000000-0005-0000-0000-00007F010000}"/>
    <cellStyle name="Date" xfId="209" xr:uid="{00000000-0005-0000-0000-000080010000}"/>
    <cellStyle name="date1" xfId="210" xr:uid="{00000000-0005-0000-0000-000081010000}"/>
    <cellStyle name="date1 2" xfId="494" xr:uid="{00000000-0005-0000-0000-000082010000}"/>
    <cellStyle name="Description" xfId="211" xr:uid="{00000000-0005-0000-0000-000083010000}"/>
    <cellStyle name="Entered" xfId="212" xr:uid="{00000000-0005-0000-0000-000084010000}"/>
    <cellStyle name="Euro" xfId="213" xr:uid="{00000000-0005-0000-0000-000085010000}"/>
    <cellStyle name="Euro 2" xfId="495" xr:uid="{00000000-0005-0000-0000-000086010000}"/>
    <cellStyle name="Excel Built-in Normal" xfId="214" xr:uid="{00000000-0005-0000-0000-000087010000}"/>
    <cellStyle name="Fixed" xfId="215" xr:uid="{00000000-0005-0000-0000-000088010000}"/>
    <cellStyle name="Fixed 2" xfId="496" xr:uid="{00000000-0005-0000-0000-000089010000}"/>
    <cellStyle name="Grey" xfId="216" xr:uid="{00000000-0005-0000-0000-00008A010000}"/>
    <cellStyle name="GTT%" xfId="217" xr:uid="{00000000-0005-0000-0000-00008B010000}"/>
    <cellStyle name="GTT% 2" xfId="497" xr:uid="{00000000-0005-0000-0000-00008C010000}"/>
    <cellStyle name="Header1" xfId="218" xr:uid="{00000000-0005-0000-0000-00008D010000}"/>
    <cellStyle name="Header2" xfId="219" xr:uid="{00000000-0005-0000-0000-00008E010000}"/>
    <cellStyle name="Hyperlink 2" xfId="220" xr:uid="{00000000-0005-0000-0000-00008F010000}"/>
    <cellStyle name="Input [yellow]" xfId="221" xr:uid="{00000000-0005-0000-0000-000090010000}"/>
    <cellStyle name="m" xfId="222" xr:uid="{00000000-0005-0000-0000-000091010000}"/>
    <cellStyle name="m_214" xfId="223" xr:uid="{00000000-0005-0000-0000-000092010000}"/>
    <cellStyle name="m_214_AC" xfId="224" xr:uid="{00000000-0005-0000-0000-000093010000}"/>
    <cellStyle name="m_AC" xfId="225" xr:uid="{00000000-0005-0000-0000-000094010000}"/>
    <cellStyle name="no dec" xfId="226" xr:uid="{00000000-0005-0000-0000-000095010000}"/>
    <cellStyle name="Normal" xfId="0" builtinId="0"/>
    <cellStyle name="Normal - Style1" xfId="227" xr:uid="{00000000-0005-0000-0000-000097010000}"/>
    <cellStyle name="Normal - Style2" xfId="228" xr:uid="{00000000-0005-0000-0000-000098010000}"/>
    <cellStyle name="Normal - Style3" xfId="229" xr:uid="{00000000-0005-0000-0000-000099010000}"/>
    <cellStyle name="Normal - Style4" xfId="230" xr:uid="{00000000-0005-0000-0000-00009A010000}"/>
    <cellStyle name="Normal - Style5" xfId="231" xr:uid="{00000000-0005-0000-0000-00009B010000}"/>
    <cellStyle name="Normal - Style6" xfId="232" xr:uid="{00000000-0005-0000-0000-00009C010000}"/>
    <cellStyle name="Normal - Style7" xfId="233" xr:uid="{00000000-0005-0000-0000-00009D010000}"/>
    <cellStyle name="Normal - Style8" xfId="234" xr:uid="{00000000-0005-0000-0000-00009E010000}"/>
    <cellStyle name="Normal 10" xfId="16" xr:uid="{00000000-0005-0000-0000-00009F010000}"/>
    <cellStyle name="Normal 10 2" xfId="319" xr:uid="{00000000-0005-0000-0000-0000A0010000}"/>
    <cellStyle name="Normal 11" xfId="542" xr:uid="{00000000-0005-0000-0000-0000A1010000}"/>
    <cellStyle name="Normal 12" xfId="235" xr:uid="{00000000-0005-0000-0000-0000A2010000}"/>
    <cellStyle name="Normal 12 2" xfId="498" xr:uid="{00000000-0005-0000-0000-0000A3010000}"/>
    <cellStyle name="Normal 13" xfId="544" xr:uid="{00000000-0005-0000-0000-0000A4010000}"/>
    <cellStyle name="Normal 14" xfId="543" xr:uid="{00000000-0005-0000-0000-0000A5010000}"/>
    <cellStyle name="Normal 2" xfId="2" xr:uid="{00000000-0005-0000-0000-0000A6010000}"/>
    <cellStyle name="Normal 2 10" xfId="7" xr:uid="{00000000-0005-0000-0000-0000A7010000}"/>
    <cellStyle name="Normal 2 10 2" xfId="310" xr:uid="{00000000-0005-0000-0000-0000A8010000}"/>
    <cellStyle name="Normal 2 11" xfId="236" xr:uid="{00000000-0005-0000-0000-0000A9010000}"/>
    <cellStyle name="Normal 2 11 2" xfId="499" xr:uid="{00000000-0005-0000-0000-0000AA010000}"/>
    <cellStyle name="Normal 2 12" xfId="237" xr:uid="{00000000-0005-0000-0000-0000AB010000}"/>
    <cellStyle name="Normal 2 12 2" xfId="500" xr:uid="{00000000-0005-0000-0000-0000AC010000}"/>
    <cellStyle name="Normal 2 13" xfId="238" xr:uid="{00000000-0005-0000-0000-0000AD010000}"/>
    <cellStyle name="Normal 2 13 2" xfId="501" xr:uid="{00000000-0005-0000-0000-0000AE010000}"/>
    <cellStyle name="Normal 2 14" xfId="239" xr:uid="{00000000-0005-0000-0000-0000AF010000}"/>
    <cellStyle name="Normal 2 14 2" xfId="502" xr:uid="{00000000-0005-0000-0000-0000B0010000}"/>
    <cellStyle name="Normal 2 15" xfId="240" xr:uid="{00000000-0005-0000-0000-0000B1010000}"/>
    <cellStyle name="Normal 2 15 2" xfId="503" xr:uid="{00000000-0005-0000-0000-0000B2010000}"/>
    <cellStyle name="Normal 2 16" xfId="241" xr:uid="{00000000-0005-0000-0000-0000B3010000}"/>
    <cellStyle name="Normal 2 16 2" xfId="504" xr:uid="{00000000-0005-0000-0000-0000B4010000}"/>
    <cellStyle name="Normal 2 17" xfId="242" xr:uid="{00000000-0005-0000-0000-0000B5010000}"/>
    <cellStyle name="Normal 2 17 2" xfId="505" xr:uid="{00000000-0005-0000-0000-0000B6010000}"/>
    <cellStyle name="Normal 2 18" xfId="243" xr:uid="{00000000-0005-0000-0000-0000B7010000}"/>
    <cellStyle name="Normal 2 18 2" xfId="506" xr:uid="{00000000-0005-0000-0000-0000B8010000}"/>
    <cellStyle name="Normal 2 19" xfId="244" xr:uid="{00000000-0005-0000-0000-0000B9010000}"/>
    <cellStyle name="Normal 2 19 2" xfId="507" xr:uid="{00000000-0005-0000-0000-0000BA010000}"/>
    <cellStyle name="Normal 2 2" xfId="13" xr:uid="{00000000-0005-0000-0000-0000BB010000}"/>
    <cellStyle name="Normal 2 2 2" xfId="245" xr:uid="{00000000-0005-0000-0000-0000BC010000}"/>
    <cellStyle name="Normal 2 2 2 2" xfId="508" xr:uid="{00000000-0005-0000-0000-0000BD010000}"/>
    <cellStyle name="Normal 2 2 3" xfId="316" xr:uid="{00000000-0005-0000-0000-0000BE010000}"/>
    <cellStyle name="Normal 2 20" xfId="246" xr:uid="{00000000-0005-0000-0000-0000BF010000}"/>
    <cellStyle name="Normal 2 20 2" xfId="509" xr:uid="{00000000-0005-0000-0000-0000C0010000}"/>
    <cellStyle name="Normal 2 21" xfId="247" xr:uid="{00000000-0005-0000-0000-0000C1010000}"/>
    <cellStyle name="Normal 2 21 2" xfId="510" xr:uid="{00000000-0005-0000-0000-0000C2010000}"/>
    <cellStyle name="Normal 2 22" xfId="248" xr:uid="{00000000-0005-0000-0000-0000C3010000}"/>
    <cellStyle name="Normal 2 22 2" xfId="511" xr:uid="{00000000-0005-0000-0000-0000C4010000}"/>
    <cellStyle name="Normal 2 3" xfId="249" xr:uid="{00000000-0005-0000-0000-0000C5010000}"/>
    <cellStyle name="Normal 2 3 2" xfId="512" xr:uid="{00000000-0005-0000-0000-0000C6010000}"/>
    <cellStyle name="Normal 2 4" xfId="250" xr:uid="{00000000-0005-0000-0000-0000C7010000}"/>
    <cellStyle name="Normal 2 4 2" xfId="513" xr:uid="{00000000-0005-0000-0000-0000C8010000}"/>
    <cellStyle name="Normal 2 5" xfId="251" xr:uid="{00000000-0005-0000-0000-0000C9010000}"/>
    <cellStyle name="Normal 2 5 2" xfId="514" xr:uid="{00000000-0005-0000-0000-0000CA010000}"/>
    <cellStyle name="Normal 2 6" xfId="252" xr:uid="{00000000-0005-0000-0000-0000CB010000}"/>
    <cellStyle name="Normal 2 6 2" xfId="515" xr:uid="{00000000-0005-0000-0000-0000CC010000}"/>
    <cellStyle name="Normal 2 7" xfId="253" xr:uid="{00000000-0005-0000-0000-0000CD010000}"/>
    <cellStyle name="Normal 2 7 2" xfId="516" xr:uid="{00000000-0005-0000-0000-0000CE010000}"/>
    <cellStyle name="Normal 2 8" xfId="254" xr:uid="{00000000-0005-0000-0000-0000CF010000}"/>
    <cellStyle name="Normal 2 8 2" xfId="517" xr:uid="{00000000-0005-0000-0000-0000D0010000}"/>
    <cellStyle name="Normal 2 9" xfId="255" xr:uid="{00000000-0005-0000-0000-0000D1010000}"/>
    <cellStyle name="Normal 2 9 2" xfId="518" xr:uid="{00000000-0005-0000-0000-0000D2010000}"/>
    <cellStyle name="Normal 3" xfId="6" xr:uid="{00000000-0005-0000-0000-0000D3010000}"/>
    <cellStyle name="Normal 3 2" xfId="256" xr:uid="{00000000-0005-0000-0000-0000D4010000}"/>
    <cellStyle name="Normal 3 2 2" xfId="257" xr:uid="{00000000-0005-0000-0000-0000D5010000}"/>
    <cellStyle name="Normal 3 2 2 2" xfId="258" xr:uid="{00000000-0005-0000-0000-0000D6010000}"/>
    <cellStyle name="Normal 3 2 2 2 2" xfId="521" xr:uid="{00000000-0005-0000-0000-0000D7010000}"/>
    <cellStyle name="Normal 3 2 2 3" xfId="520" xr:uid="{00000000-0005-0000-0000-0000D8010000}"/>
    <cellStyle name="Normal 3 2 3" xfId="519" xr:uid="{00000000-0005-0000-0000-0000D9010000}"/>
    <cellStyle name="Normal 3 3" xfId="309" xr:uid="{00000000-0005-0000-0000-0000DA010000}"/>
    <cellStyle name="Normal 4" xfId="259" xr:uid="{00000000-0005-0000-0000-0000DB010000}"/>
    <cellStyle name="Normal 5" xfId="260" xr:uid="{00000000-0005-0000-0000-0000DC010000}"/>
    <cellStyle name="Normal 5 2" xfId="261" xr:uid="{00000000-0005-0000-0000-0000DD010000}"/>
    <cellStyle name="Normal 5 2 2" xfId="523" xr:uid="{00000000-0005-0000-0000-0000DE010000}"/>
    <cellStyle name="Normal 5 3" xfId="522" xr:uid="{00000000-0005-0000-0000-0000DF010000}"/>
    <cellStyle name="Normal 6" xfId="262" xr:uid="{00000000-0005-0000-0000-0000E0010000}"/>
    <cellStyle name="Normal 6 2" xfId="524" xr:uid="{00000000-0005-0000-0000-0000E1010000}"/>
    <cellStyle name="Normal 7" xfId="263" xr:uid="{00000000-0005-0000-0000-0000E2010000}"/>
    <cellStyle name="Normal 7 2" xfId="525" xr:uid="{00000000-0005-0000-0000-0000E3010000}"/>
    <cellStyle name="Normal 8" xfId="264" xr:uid="{00000000-0005-0000-0000-0000E4010000}"/>
    <cellStyle name="Normal 8 2" xfId="526" xr:uid="{00000000-0005-0000-0000-0000E5010000}"/>
    <cellStyle name="Normal 9" xfId="545" xr:uid="{00000000-0005-0000-0000-0000E6010000}"/>
    <cellStyle name="Percent" xfId="546" builtinId="5"/>
    <cellStyle name="Percent [2]" xfId="265" xr:uid="{00000000-0005-0000-0000-0000E7010000}"/>
    <cellStyle name="Percent [2] 2" xfId="527" xr:uid="{00000000-0005-0000-0000-0000E8010000}"/>
    <cellStyle name="Percent 2" xfId="266" xr:uid="{00000000-0005-0000-0000-0000E9010000}"/>
    <cellStyle name="Percent 2 10" xfId="267" xr:uid="{00000000-0005-0000-0000-0000EA010000}"/>
    <cellStyle name="Percent 2 10 2" xfId="529" xr:uid="{00000000-0005-0000-0000-0000EB010000}"/>
    <cellStyle name="Percent 2 11" xfId="268" xr:uid="{00000000-0005-0000-0000-0000EC010000}"/>
    <cellStyle name="Percent 2 11 2" xfId="530" xr:uid="{00000000-0005-0000-0000-0000ED010000}"/>
    <cellStyle name="Percent 2 12" xfId="269" xr:uid="{00000000-0005-0000-0000-0000EE010000}"/>
    <cellStyle name="Percent 2 12 2" xfId="531" xr:uid="{00000000-0005-0000-0000-0000EF010000}"/>
    <cellStyle name="Percent 2 13" xfId="270" xr:uid="{00000000-0005-0000-0000-0000F0010000}"/>
    <cellStyle name="Percent 2 13 2" xfId="532" xr:uid="{00000000-0005-0000-0000-0000F1010000}"/>
    <cellStyle name="Percent 2 14" xfId="271" xr:uid="{00000000-0005-0000-0000-0000F2010000}"/>
    <cellStyle name="Percent 2 14 2" xfId="533" xr:uid="{00000000-0005-0000-0000-0000F3010000}"/>
    <cellStyle name="Percent 2 15" xfId="528" xr:uid="{00000000-0005-0000-0000-0000F4010000}"/>
    <cellStyle name="Percent 2 2" xfId="272" xr:uid="{00000000-0005-0000-0000-0000F5010000}"/>
    <cellStyle name="Percent 2 2 2" xfId="534" xr:uid="{00000000-0005-0000-0000-0000F6010000}"/>
    <cellStyle name="Percent 2 3" xfId="273" xr:uid="{00000000-0005-0000-0000-0000F7010000}"/>
    <cellStyle name="Percent 2 3 2" xfId="535" xr:uid="{00000000-0005-0000-0000-0000F8010000}"/>
    <cellStyle name="Percent 2 4" xfId="274" xr:uid="{00000000-0005-0000-0000-0000F9010000}"/>
    <cellStyle name="Percent 2 4 2" xfId="536" xr:uid="{00000000-0005-0000-0000-0000FA010000}"/>
    <cellStyle name="Percent 2 5" xfId="275" xr:uid="{00000000-0005-0000-0000-0000FB010000}"/>
    <cellStyle name="Percent 2 5 2" xfId="537" xr:uid="{00000000-0005-0000-0000-0000FC010000}"/>
    <cellStyle name="Percent 2 6" xfId="276" xr:uid="{00000000-0005-0000-0000-0000FD010000}"/>
    <cellStyle name="Percent 2 6 2" xfId="538" xr:uid="{00000000-0005-0000-0000-0000FE010000}"/>
    <cellStyle name="Percent 2 7" xfId="277" xr:uid="{00000000-0005-0000-0000-0000FF010000}"/>
    <cellStyle name="Percent 2 7 2" xfId="539" xr:uid="{00000000-0005-0000-0000-000000020000}"/>
    <cellStyle name="Percent 2 8" xfId="278" xr:uid="{00000000-0005-0000-0000-000001020000}"/>
    <cellStyle name="Percent 2 8 2" xfId="540" xr:uid="{00000000-0005-0000-0000-000002020000}"/>
    <cellStyle name="Percent 2 9" xfId="279" xr:uid="{00000000-0005-0000-0000-000003020000}"/>
    <cellStyle name="Percent 2 9 2" xfId="541" xr:uid="{00000000-0005-0000-0000-000004020000}"/>
    <cellStyle name="Percent 3" xfId="280" xr:uid="{00000000-0005-0000-0000-000005020000}"/>
    <cellStyle name="Result 1" xfId="281" xr:uid="{00000000-0005-0000-0000-000006020000}"/>
    <cellStyle name="RevList" xfId="282" xr:uid="{00000000-0005-0000-0000-000007020000}"/>
    <cellStyle name="Subtotal" xfId="283" xr:uid="{00000000-0005-0000-0000-000008020000}"/>
    <cellStyle name="sum" xfId="284" xr:uid="{00000000-0005-0000-0000-000009020000}"/>
    <cellStyle name="Unit" xfId="285" xr:uid="{00000000-0005-0000-0000-00000A020000}"/>
    <cellStyle name="User_Defined_A" xfId="286" xr:uid="{00000000-0005-0000-0000-00000B020000}"/>
    <cellStyle name="เครื่องหมายจุลภาค [0]_N1222H#" xfId="287" xr:uid="{00000000-0005-0000-0000-00000C020000}"/>
    <cellStyle name="เครื่องหมายจุลภาค_N1222H#" xfId="288" xr:uid="{00000000-0005-0000-0000-00000D020000}"/>
    <cellStyle name="เครื่องหมายสกุลเงิน [0]_N1222H#" xfId="289" xr:uid="{00000000-0005-0000-0000-00000E020000}"/>
    <cellStyle name="เครื่องหมายสกุลเงิน_N1222H#" xfId="290" xr:uid="{00000000-0005-0000-0000-00000F020000}"/>
    <cellStyle name="ปกติ_N1222H#" xfId="291" xr:uid="{00000000-0005-0000-0000-000010020000}"/>
    <cellStyle name="똿뗦먛귟 [0.00]_PRODUCT DETAIL Q1" xfId="292" xr:uid="{00000000-0005-0000-0000-000011020000}"/>
    <cellStyle name="똿뗦먛귟_PRODUCT DETAIL Q1" xfId="293" xr:uid="{00000000-0005-0000-0000-000012020000}"/>
    <cellStyle name="믅됞 [0.00]_PRODUCT DETAIL Q1" xfId="294" xr:uid="{00000000-0005-0000-0000-000013020000}"/>
    <cellStyle name="믅됞_PRODUCT DETAIL Q1" xfId="295" xr:uid="{00000000-0005-0000-0000-000014020000}"/>
    <cellStyle name="백분율_HOBONG" xfId="296" xr:uid="{00000000-0005-0000-0000-000015020000}"/>
    <cellStyle name="뷭?_BOOKSHIP" xfId="297" xr:uid="{00000000-0005-0000-0000-000016020000}"/>
    <cellStyle name="콤마 [0]_1202" xfId="298" xr:uid="{00000000-0005-0000-0000-000017020000}"/>
    <cellStyle name="콤마_1202" xfId="299" xr:uid="{00000000-0005-0000-0000-000018020000}"/>
    <cellStyle name="통화 [0]_1202" xfId="300" xr:uid="{00000000-0005-0000-0000-000019020000}"/>
    <cellStyle name="통화_1202" xfId="301" xr:uid="{00000000-0005-0000-0000-00001A020000}"/>
    <cellStyle name="표준_(정보부문)월별인원계획" xfId="302" xr:uid="{00000000-0005-0000-0000-00001B020000}"/>
    <cellStyle name="一般_17 JAN" xfId="303" xr:uid="{00000000-0005-0000-0000-00001C020000}"/>
    <cellStyle name="千分位[0]_17 JAN" xfId="304" xr:uid="{00000000-0005-0000-0000-00001D020000}"/>
    <cellStyle name="千分位_17 JAN" xfId="305" xr:uid="{00000000-0005-0000-0000-00001E020000}"/>
    <cellStyle name="標準_Breakdown_NA" xfId="306" xr:uid="{00000000-0005-0000-0000-00001F020000}"/>
    <cellStyle name="貨幣 [0]_17 JAN" xfId="307" xr:uid="{00000000-0005-0000-0000-000020020000}"/>
    <cellStyle name="貨幣_17 JAN" xfId="308" xr:uid="{00000000-0005-0000-0000-00002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'Schedule &amp; S-Cuve '!$S$155</c:f>
              <c:strCache>
                <c:ptCount val="1"/>
                <c:pt idx="0">
                  <c:v>0.00%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'Schedule &amp; S-Cuve '!$S$155:$AU$155</c:f>
              <c:numCache>
                <c:formatCode>0.00%</c:formatCode>
                <c:ptCount val="29"/>
                <c:pt idx="0">
                  <c:v>0</c:v>
                </c:pt>
                <c:pt idx="1">
                  <c:v>3.9571670657735883E-2</c:v>
                </c:pt>
                <c:pt idx="2">
                  <c:v>7.9143341315471766E-2</c:v>
                </c:pt>
                <c:pt idx="3">
                  <c:v>0.10763648246097174</c:v>
                </c:pt>
                <c:pt idx="4">
                  <c:v>0.12089704125711002</c:v>
                </c:pt>
                <c:pt idx="5">
                  <c:v>0.14623395774213663</c:v>
                </c:pt>
                <c:pt idx="6">
                  <c:v>0.20392371058390402</c:v>
                </c:pt>
                <c:pt idx="7">
                  <c:v>0.26161346342567138</c:v>
                </c:pt>
                <c:pt idx="8">
                  <c:v>0.30722685857855042</c:v>
                </c:pt>
                <c:pt idx="9">
                  <c:v>0.35284025373142947</c:v>
                </c:pt>
                <c:pt idx="10">
                  <c:v>0.37028735748563268</c:v>
                </c:pt>
                <c:pt idx="11">
                  <c:v>0.3877344612398359</c:v>
                </c:pt>
                <c:pt idx="12">
                  <c:v>0.40518156499403912</c:v>
                </c:pt>
                <c:pt idx="13">
                  <c:v>0.45215458236676315</c:v>
                </c:pt>
                <c:pt idx="14">
                  <c:v>0.49912759973948717</c:v>
                </c:pt>
                <c:pt idx="15">
                  <c:v>0.5455701939338844</c:v>
                </c:pt>
                <c:pt idx="16">
                  <c:v>0.59201278812828162</c:v>
                </c:pt>
                <c:pt idx="17">
                  <c:v>0.64470351083703348</c:v>
                </c:pt>
                <c:pt idx="18">
                  <c:v>0.67666786589485262</c:v>
                </c:pt>
                <c:pt idx="19">
                  <c:v>0.71950887312413847</c:v>
                </c:pt>
                <c:pt idx="20">
                  <c:v>0.76234988035342433</c:v>
                </c:pt>
                <c:pt idx="21">
                  <c:v>0.78523681974805459</c:v>
                </c:pt>
                <c:pt idx="22">
                  <c:v>0.80812375914268486</c:v>
                </c:pt>
                <c:pt idx="23">
                  <c:v>0.85381208709705603</c:v>
                </c:pt>
                <c:pt idx="24">
                  <c:v>0.89950041505142719</c:v>
                </c:pt>
                <c:pt idx="25">
                  <c:v>0.93894061449144373</c:v>
                </c:pt>
                <c:pt idx="26">
                  <c:v>0.97838081393146026</c:v>
                </c:pt>
                <c:pt idx="27">
                  <c:v>0.99868540507556491</c:v>
                </c:pt>
                <c:pt idx="28">
                  <c:v>1.0000000000000004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1-4F79-BE02-D1ED7AF65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613343"/>
        <c:axId val="715603263"/>
      </c:lineChart>
      <c:catAx>
        <c:axId val="715613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603263"/>
        <c:crosses val="autoZero"/>
        <c:auto val="1"/>
        <c:lblAlgn val="ctr"/>
        <c:lblOffset val="100"/>
        <c:noMultiLvlLbl val="0"/>
      </c:catAx>
      <c:valAx>
        <c:axId val="7156032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61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259976</xdr:colOff>
      <xdr:row>24</xdr:row>
      <xdr:rowOff>152399</xdr:rowOff>
    </xdr:from>
    <xdr:to>
      <xdr:col>88</xdr:col>
      <xdr:colOff>429383</xdr:colOff>
      <xdr:row>74</xdr:row>
      <xdr:rowOff>95248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B82A7C-0A84-2C9C-FF7C-46D50752D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54447" y="4338917"/>
          <a:ext cx="22724607" cy="9821956"/>
        </a:xfrm>
        <a:prstGeom prst="rect">
          <a:avLst/>
        </a:prstGeom>
      </xdr:spPr>
    </xdr:pic>
    <xdr:clientData/>
  </xdr:twoCellAnchor>
  <xdr:twoCellAnchor>
    <xdr:from>
      <xdr:col>71</xdr:col>
      <xdr:colOff>342900</xdr:colOff>
      <xdr:row>31</xdr:row>
      <xdr:rowOff>0</xdr:rowOff>
    </xdr:from>
    <xdr:to>
      <xdr:col>73</xdr:col>
      <xdr:colOff>361950</xdr:colOff>
      <xdr:row>42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293747A-2B52-A10A-8C50-958D83E2E477}"/>
            </a:ext>
          </a:extLst>
        </xdr:cNvPr>
        <xdr:cNvCxnSpPr/>
      </xdr:nvCxnSpPr>
      <xdr:spPr>
        <a:xfrm flipH="1">
          <a:off x="31070550" y="5429250"/>
          <a:ext cx="1238250" cy="11049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381000</xdr:colOff>
      <xdr:row>44</xdr:row>
      <xdr:rowOff>152400</xdr:rowOff>
    </xdr:from>
    <xdr:to>
      <xdr:col>73</xdr:col>
      <xdr:colOff>400050</xdr:colOff>
      <xdr:row>49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1A31653-0110-98D0-EC9C-5B89CC004BA9}"/>
            </a:ext>
          </a:extLst>
        </xdr:cNvPr>
        <xdr:cNvCxnSpPr/>
      </xdr:nvCxnSpPr>
      <xdr:spPr>
        <a:xfrm flipH="1">
          <a:off x="31108650" y="6915150"/>
          <a:ext cx="1238250" cy="11049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342900</xdr:colOff>
      <xdr:row>49</xdr:row>
      <xdr:rowOff>0</xdr:rowOff>
    </xdr:from>
    <xdr:to>
      <xdr:col>73</xdr:col>
      <xdr:colOff>361950</xdr:colOff>
      <xdr:row>52</xdr:row>
      <xdr:rowOff>38100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4A88D42-DDB1-D5D6-CA28-75C147B72D76}"/>
            </a:ext>
          </a:extLst>
        </xdr:cNvPr>
        <xdr:cNvCxnSpPr/>
      </xdr:nvCxnSpPr>
      <xdr:spPr>
        <a:xfrm flipH="1">
          <a:off x="31070550" y="8382000"/>
          <a:ext cx="1238250" cy="11049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361950</xdr:colOff>
      <xdr:row>54</xdr:row>
      <xdr:rowOff>171450</xdr:rowOff>
    </xdr:from>
    <xdr:to>
      <xdr:col>73</xdr:col>
      <xdr:colOff>381000</xdr:colOff>
      <xdr:row>60</xdr:row>
      <xdr:rowOff>133350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5EB1C13-05F9-8239-A029-751B74BFF0B2}"/>
            </a:ext>
          </a:extLst>
        </xdr:cNvPr>
        <xdr:cNvCxnSpPr/>
      </xdr:nvCxnSpPr>
      <xdr:spPr>
        <a:xfrm flipH="1">
          <a:off x="31089600" y="10001250"/>
          <a:ext cx="1238250" cy="11049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419100</xdr:colOff>
      <xdr:row>55</xdr:row>
      <xdr:rowOff>38100</xdr:rowOff>
    </xdr:from>
    <xdr:to>
      <xdr:col>68</xdr:col>
      <xdr:colOff>438150</xdr:colOff>
      <xdr:row>61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C591845-8EE5-DA2E-13F4-AFFB082A541B}"/>
            </a:ext>
          </a:extLst>
        </xdr:cNvPr>
        <xdr:cNvCxnSpPr/>
      </xdr:nvCxnSpPr>
      <xdr:spPr>
        <a:xfrm flipH="1">
          <a:off x="28098750" y="10058400"/>
          <a:ext cx="1238250" cy="11049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342900</xdr:colOff>
      <xdr:row>49</xdr:row>
      <xdr:rowOff>0</xdr:rowOff>
    </xdr:from>
    <xdr:to>
      <xdr:col>68</xdr:col>
      <xdr:colOff>361950</xdr:colOff>
      <xdr:row>53</xdr:row>
      <xdr:rowOff>38100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0755E3A-00AC-7C4C-FE8A-7A57618EAB55}"/>
            </a:ext>
          </a:extLst>
        </xdr:cNvPr>
        <xdr:cNvCxnSpPr/>
      </xdr:nvCxnSpPr>
      <xdr:spPr>
        <a:xfrm flipH="1">
          <a:off x="28022550" y="8572500"/>
          <a:ext cx="1238250" cy="11049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438150</xdr:colOff>
      <xdr:row>44</xdr:row>
      <xdr:rowOff>95250</xdr:rowOff>
    </xdr:from>
    <xdr:to>
      <xdr:col>68</xdr:col>
      <xdr:colOff>457200</xdr:colOff>
      <xdr:row>49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7AE061B-6FE7-4FB8-5656-0B3057CE00C5}"/>
            </a:ext>
          </a:extLst>
        </xdr:cNvPr>
        <xdr:cNvCxnSpPr/>
      </xdr:nvCxnSpPr>
      <xdr:spPr>
        <a:xfrm flipH="1">
          <a:off x="28117800" y="6858000"/>
          <a:ext cx="1238250" cy="11049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342900</xdr:colOff>
      <xdr:row>31</xdr:row>
      <xdr:rowOff>114300</xdr:rowOff>
    </xdr:from>
    <xdr:to>
      <xdr:col>68</xdr:col>
      <xdr:colOff>361950</xdr:colOff>
      <xdr:row>43</xdr:row>
      <xdr:rowOff>76200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19FBE71-EBE2-B5F6-FA30-20D6CF09D933}"/>
            </a:ext>
          </a:extLst>
        </xdr:cNvPr>
        <xdr:cNvCxnSpPr/>
      </xdr:nvCxnSpPr>
      <xdr:spPr>
        <a:xfrm flipH="1">
          <a:off x="28022550" y="5543550"/>
          <a:ext cx="1238250" cy="11049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228600</xdr:colOff>
      <xdr:row>35</xdr:row>
      <xdr:rowOff>57150</xdr:rowOff>
    </xdr:from>
    <xdr:to>
      <xdr:col>79</xdr:col>
      <xdr:colOff>247650</xdr:colOff>
      <xdr:row>47</xdr:row>
      <xdr:rowOff>19050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B0C24C4-B1BA-6B9B-2955-82C7A70FF106}"/>
            </a:ext>
          </a:extLst>
        </xdr:cNvPr>
        <xdr:cNvCxnSpPr/>
      </xdr:nvCxnSpPr>
      <xdr:spPr>
        <a:xfrm flipH="1">
          <a:off x="34613850" y="6248400"/>
          <a:ext cx="1238250" cy="11049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304800</xdr:colOff>
      <xdr:row>34</xdr:row>
      <xdr:rowOff>171450</xdr:rowOff>
    </xdr:from>
    <xdr:to>
      <xdr:col>80</xdr:col>
      <xdr:colOff>457200</xdr:colOff>
      <xdr:row>43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A069246-D7CE-70B9-2CBE-300475281969}"/>
            </a:ext>
          </a:extLst>
        </xdr:cNvPr>
        <xdr:cNvSpPr/>
      </xdr:nvSpPr>
      <xdr:spPr>
        <a:xfrm>
          <a:off x="34690050" y="6172200"/>
          <a:ext cx="1981200" cy="514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2800"/>
            <a:t>Akses</a:t>
          </a:r>
          <a:r>
            <a:rPr lang="id-ID" sz="2800" baseline="0"/>
            <a:t> Jalan</a:t>
          </a:r>
          <a:endParaRPr lang="en-ID" sz="2800"/>
        </a:p>
      </xdr:txBody>
    </xdr:sp>
    <xdr:clientData/>
  </xdr:twoCellAnchor>
  <xdr:twoCellAnchor>
    <xdr:from>
      <xdr:col>50</xdr:col>
      <xdr:colOff>133350</xdr:colOff>
      <xdr:row>52</xdr:row>
      <xdr:rowOff>114300</xdr:rowOff>
    </xdr:from>
    <xdr:to>
      <xdr:col>52</xdr:col>
      <xdr:colOff>323850</xdr:colOff>
      <xdr:row>56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28989C5-7BDE-63EB-5291-52D41F04AFD4}"/>
            </a:ext>
          </a:extLst>
        </xdr:cNvPr>
        <xdr:cNvSpPr/>
      </xdr:nvSpPr>
      <xdr:spPr>
        <a:xfrm>
          <a:off x="18059400" y="9563100"/>
          <a:ext cx="1409700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2800"/>
            <a:t>Tahap</a:t>
          </a:r>
          <a:r>
            <a:rPr lang="id-ID" sz="2800" baseline="0"/>
            <a:t> 1</a:t>
          </a:r>
          <a:endParaRPr lang="en-ID" sz="2800"/>
        </a:p>
      </xdr:txBody>
    </xdr:sp>
    <xdr:clientData/>
  </xdr:twoCellAnchor>
  <xdr:twoCellAnchor>
    <xdr:from>
      <xdr:col>60</xdr:col>
      <xdr:colOff>190500</xdr:colOff>
      <xdr:row>59</xdr:row>
      <xdr:rowOff>0</xdr:rowOff>
    </xdr:from>
    <xdr:to>
      <xdr:col>62</xdr:col>
      <xdr:colOff>381000</xdr:colOff>
      <xdr:row>62</xdr:row>
      <xdr:rowOff>76200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60FFC3E-DE0A-D1B2-A698-45C7A6155D29}"/>
            </a:ext>
          </a:extLst>
        </xdr:cNvPr>
        <xdr:cNvSpPr/>
      </xdr:nvSpPr>
      <xdr:spPr>
        <a:xfrm>
          <a:off x="24212550" y="10782300"/>
          <a:ext cx="1409700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2800"/>
            <a:t>Tahap</a:t>
          </a:r>
          <a:r>
            <a:rPr lang="id-ID" sz="2800" baseline="0"/>
            <a:t> 2</a:t>
          </a:r>
          <a:endParaRPr lang="en-ID" sz="2800"/>
        </a:p>
      </xdr:txBody>
    </xdr:sp>
    <xdr:clientData/>
  </xdr:twoCellAnchor>
  <xdr:twoCellAnchor>
    <xdr:from>
      <xdr:col>59</xdr:col>
      <xdr:colOff>190500</xdr:colOff>
      <xdr:row>49</xdr:row>
      <xdr:rowOff>0</xdr:rowOff>
    </xdr:from>
    <xdr:to>
      <xdr:col>61</xdr:col>
      <xdr:colOff>381000</xdr:colOff>
      <xdr:row>52</xdr:row>
      <xdr:rowOff>69273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6423C1E-3E00-4532-D169-2F5E6C38C836}"/>
            </a:ext>
          </a:extLst>
        </xdr:cNvPr>
        <xdr:cNvSpPr/>
      </xdr:nvSpPr>
      <xdr:spPr>
        <a:xfrm>
          <a:off x="27137591" y="9019309"/>
          <a:ext cx="1409700" cy="6511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2800"/>
            <a:t>Tahap</a:t>
          </a:r>
          <a:r>
            <a:rPr lang="id-ID" sz="2800" baseline="0"/>
            <a:t> 3</a:t>
          </a:r>
          <a:endParaRPr lang="en-ID" sz="2800"/>
        </a:p>
      </xdr:txBody>
    </xdr:sp>
    <xdr:clientData/>
  </xdr:twoCellAnchor>
  <xdr:twoCellAnchor>
    <xdr:from>
      <xdr:col>59</xdr:col>
      <xdr:colOff>190500</xdr:colOff>
      <xdr:row>34</xdr:row>
      <xdr:rowOff>38100</xdr:rowOff>
    </xdr:from>
    <xdr:to>
      <xdr:col>61</xdr:col>
      <xdr:colOff>381000</xdr:colOff>
      <xdr:row>38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5A35FAF-DF4D-08B4-168A-CA1B4240C5A3}"/>
            </a:ext>
          </a:extLst>
        </xdr:cNvPr>
        <xdr:cNvSpPr/>
      </xdr:nvSpPr>
      <xdr:spPr>
        <a:xfrm>
          <a:off x="27137591" y="6134100"/>
          <a:ext cx="1409700" cy="7377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2800"/>
            <a:t>Tahap</a:t>
          </a:r>
          <a:r>
            <a:rPr lang="id-ID" sz="2800" baseline="0"/>
            <a:t> 4</a:t>
          </a:r>
          <a:endParaRPr lang="en-ID" sz="2800"/>
        </a:p>
      </xdr:txBody>
    </xdr:sp>
    <xdr:clientData/>
  </xdr:twoCellAnchor>
  <xdr:twoCellAnchor>
    <xdr:from>
      <xdr:col>67</xdr:col>
      <xdr:colOff>590550</xdr:colOff>
      <xdr:row>49</xdr:row>
      <xdr:rowOff>0</xdr:rowOff>
    </xdr:from>
    <xdr:to>
      <xdr:col>70</xdr:col>
      <xdr:colOff>171450</xdr:colOff>
      <xdr:row>51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24E33F6-E340-7CDB-CEF8-C846252B8C40}"/>
            </a:ext>
          </a:extLst>
        </xdr:cNvPr>
        <xdr:cNvSpPr/>
      </xdr:nvSpPr>
      <xdr:spPr>
        <a:xfrm>
          <a:off x="28879800" y="8782050"/>
          <a:ext cx="1409700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2800"/>
            <a:t>Tahap</a:t>
          </a:r>
          <a:r>
            <a:rPr lang="id-ID" sz="2800" baseline="0"/>
            <a:t> 5</a:t>
          </a:r>
          <a:endParaRPr lang="en-ID" sz="2800"/>
        </a:p>
      </xdr:txBody>
    </xdr:sp>
    <xdr:clientData/>
  </xdr:twoCellAnchor>
  <xdr:twoCellAnchor editAs="oneCell">
    <xdr:from>
      <xdr:col>50</xdr:col>
      <xdr:colOff>218429</xdr:colOff>
      <xdr:row>69</xdr:row>
      <xdr:rowOff>128868</xdr:rowOff>
    </xdr:from>
    <xdr:to>
      <xdr:col>79</xdr:col>
      <xdr:colOff>332447</xdr:colOff>
      <xdr:row>127</xdr:row>
      <xdr:rowOff>44630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EB4AE99-88F3-54EB-3C0D-1A54AB5FB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26109017" y="9702657"/>
          <a:ext cx="10780984" cy="17792418"/>
        </a:xfrm>
        <a:prstGeom prst="rect">
          <a:avLst/>
        </a:prstGeom>
      </xdr:spPr>
    </xdr:pic>
    <xdr:clientData/>
  </xdr:twoCellAnchor>
  <xdr:twoCellAnchor>
    <xdr:from>
      <xdr:col>51</xdr:col>
      <xdr:colOff>457200</xdr:colOff>
      <xdr:row>32</xdr:row>
      <xdr:rowOff>76200</xdr:rowOff>
    </xdr:from>
    <xdr:to>
      <xdr:col>84</xdr:col>
      <xdr:colOff>228600</xdr:colOff>
      <xdr:row>33</xdr:row>
      <xdr:rowOff>95250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B7A7CC97-6D23-F18E-63D5-85DF405BC962}"/>
            </a:ext>
          </a:extLst>
        </xdr:cNvPr>
        <xdr:cNvCxnSpPr/>
      </xdr:nvCxnSpPr>
      <xdr:spPr>
        <a:xfrm flipH="1">
          <a:off x="20878800" y="5695950"/>
          <a:ext cx="19888200" cy="209550"/>
        </a:xfrm>
        <a:prstGeom prst="straightConnector1">
          <a:avLst/>
        </a:prstGeom>
        <a:ln w="114300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495300</xdr:colOff>
      <xdr:row>34</xdr:row>
      <xdr:rowOff>133350</xdr:rowOff>
    </xdr:from>
    <xdr:to>
      <xdr:col>53</xdr:col>
      <xdr:colOff>247650</xdr:colOff>
      <xdr:row>42</xdr:row>
      <xdr:rowOff>171450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7AB761E-B8E2-6545-7DE3-F1E824993BAC}"/>
            </a:ext>
          </a:extLst>
        </xdr:cNvPr>
        <xdr:cNvSpPr/>
      </xdr:nvSpPr>
      <xdr:spPr>
        <a:xfrm>
          <a:off x="19697700" y="6134100"/>
          <a:ext cx="2190750" cy="1562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2800"/>
            <a:t>Material</a:t>
          </a:r>
          <a:r>
            <a:rPr lang="id-ID" sz="2800" baseline="0"/>
            <a:t> 1</a:t>
          </a:r>
        </a:p>
        <a:p>
          <a:pPr algn="l"/>
          <a:r>
            <a:rPr lang="id-ID" sz="2800" baseline="0"/>
            <a:t>Pasir</a:t>
          </a:r>
        </a:p>
        <a:p>
          <a:pPr algn="l"/>
          <a:r>
            <a:rPr lang="id-ID" sz="2800" baseline="0"/>
            <a:t>Semen</a:t>
          </a:r>
        </a:p>
        <a:p>
          <a:pPr algn="l"/>
          <a:endParaRPr lang="en-ID" sz="2800"/>
        </a:p>
      </xdr:txBody>
    </xdr:sp>
    <xdr:clientData/>
  </xdr:twoCellAnchor>
  <xdr:twoCellAnchor>
    <xdr:from>
      <xdr:col>70</xdr:col>
      <xdr:colOff>133350</xdr:colOff>
      <xdr:row>61</xdr:row>
      <xdr:rowOff>133350</xdr:rowOff>
    </xdr:from>
    <xdr:to>
      <xdr:col>73</xdr:col>
      <xdr:colOff>495300</xdr:colOff>
      <xdr:row>65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4BFEBB5-9630-F992-6890-B0F05B9098F1}"/>
            </a:ext>
          </a:extLst>
        </xdr:cNvPr>
        <xdr:cNvSpPr/>
      </xdr:nvSpPr>
      <xdr:spPr>
        <a:xfrm>
          <a:off x="32137350" y="11296650"/>
          <a:ext cx="2190750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2800"/>
            <a:t>Material</a:t>
          </a:r>
          <a:r>
            <a:rPr lang="id-ID" sz="2800" baseline="0"/>
            <a:t> 1</a:t>
          </a:r>
          <a:endParaRPr lang="en-ID" sz="2800"/>
        </a:p>
      </xdr:txBody>
    </xdr:sp>
    <xdr:clientData/>
  </xdr:twoCellAnchor>
  <xdr:twoCellAnchor>
    <xdr:from>
      <xdr:col>3</xdr:col>
      <xdr:colOff>2615293</xdr:colOff>
      <xdr:row>8</xdr:row>
      <xdr:rowOff>152400</xdr:rowOff>
    </xdr:from>
    <xdr:to>
      <xdr:col>48</xdr:col>
      <xdr:colOff>590550</xdr:colOff>
      <xdr:row>153</xdr:row>
      <xdr:rowOff>120238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965F54B-43F6-2673-B332-6F9ED0FD0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(E)\DATA%20PROJECT\DAKSA%20RESIDENCE\proyek\9903\bq\bq-ars\BQ-PS&amp;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knik\arsip\My%20Documents\Data%20proses\Arp\Arp%20BAGAWAN%20GIRI%20ANNE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(E)\RODA%20KONSTRUKSI\RUKO%20MALIOBORO\Bill%20Of%20Quantit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1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ERVER\Data%20(E)\Artawan%20Poetoe\JKS\Raddin%20Hotel\2005-mERCURE\kIDS%20CLUB%20+%20fITNESS\Artawan%20Poetoe\JKS\Peninsula\2005\Kantor\Datapro\JKS\Peninsula\JacaRanda-Restaurant\WINDOWS\TEMP\BOQ%20Permata%20Senayan%2009%20Juni%202003%20R1a.XLS?22A57002" TargetMode="External"/><Relationship Id="rId1" Type="http://schemas.openxmlformats.org/officeDocument/2006/relationships/externalLinkPath" Target="file:///\\22A57002\BOQ%20Permata%20Senayan%2009%20Juni%202003%20R1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(E)\RODA%20KONSTRUKSI\Bali%20Rani\CRISTAL%20BALI\BQ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0)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bert\Data%20(F)\PROJECT\SUT%20BOJONEGORO\RAB%20KARANTINA%20JOGYA\RAB%20PRODUCT\Analis%20ME%200909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LANTAI%203-4%20A%20DANA%202M150J%20REVIS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(E)\RODA%20KONSTRUKSI\casa%20indigo\PENAWARAN\BQ-Indigo-Ref-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DI\Data%202014\Kadek%20Saputra\Sentosa%20Umalas\DATA%20AGUSTUS%202011\RODA%20KONSTRUKSI\RUKO%20MALIOBORO\Bill%20Of%20Quantit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eraton\Documents%20and%20Settings\admin\My%20Documents\Budiyasa\Proyek\mess-embri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ifs1\data\DEECE\GRAND%20HYATT\DOCUME~1\MARTIN~1\LOCALS~1\Temp\C.Lotus.Notes.Data\Dataproj\B%20A%20L%20I\PENINSULA%203\ESKALASI\Dataproj\Gedung%20Badminton\tahap-II\BQ-TAHAP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eraton\Dataproj\B%20A%20L%20I\PENINSULA%203\ESKALASI\Dataproj\Gedung%20Badminton\tahap-II\BQ-TAHAP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TCR%2002\P%20MADIUN%20'02\GROSIR\RAB%20GROSIR%20'02%20(REAL%20COST%209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(E)\DATA%20PROJECT\DAKSA%20RESIDENCE\PROYEK\proyek\Th-2002\0208\bq-ruko\final-wk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RSUD%20MAD%20ME%20MASTE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(E)\PROJEC%20PRIVATE\2010\Villa%20Renovasi\RAB.%20%20500%20J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TCR%2002\P%20MADIUN\RSUD\TAHAP%20I\RSUD%20Mad%2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cons_1\FILE_1%20(D)\BIG%20PROJECT%202\PRODUCT%20PERENCANAAN\LUMAJANG\SEKOLAH%20UNGGULAN\PRODUCT%20ESTIMATOR\RAB%20FIXS%20DESIGN%20REVIEW\RAB%20SUT%2019%2004%2006\RAB%20SUT%2020%2004%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P%20MADIUN%20'02\GROSIR\RAB%20GROSIR%20'02%20(REAL%20COST%209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ifs1\data\Artawan%20Poetoe\JKS\Raddin%20Hotel\2005-mERCURE\kIDS%20CLUB%20+%20fITNESS\Artawan%20Poetoe\JKS\Peninsula\2005\Kantor\Datapro\JKS\Peninsula\JacaRanda-Restaurant\PROYEK\proyek\Th-2002\0208\bq-ruko\final-wk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DI\Data%202014\Kadek%20Saputra\Sentosa%20Umalas\Dataproj\B%20A%20L%20I\PENINSULA%203\ESKALASI\Dataproj\Gedung%20Badminton\tahap-II\BQ-TAHAP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5\P%20MADIUN\SMA%20UNGGULAN\RAB%20SMU%20UNGGULAN%20TENDER%20MASTER\GO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(E)\Artawan%20Poetoe\JKS\Raddin%20Hotel\2005-mERCURE\kIDS%20CLUB%20+%20fITNESS\Artawan%20Poetoe\JKS\Peninsula\2005\Kantor\Datapro\JKS\Peninsula\JacaRanda-Restaurant\Div~QS\Daan%20Mogot\Ruko%20Daan%20Mogot%20R2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4\data%20(d)\Documents%20and%20Settings\user\My%20Documents\MINGGUAN\mingguan\K1%20PUSAK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%20Hendri\DATA\RAB%20ME%20pasar%20blita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Copy%20of%20RSUD%20Mad%20THP%20IV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DI\Data%202014\Kadek%20Saputra\Sentosa%20Umalas\Kantor\Datapro\JKS\Santika%20Hotel\Th%202004\Final\Dataproj\B%20A%20L%20I\PENINSULA%203\ESKALASI\Dataproj\Gedung%20Badminton\tahap-II\BQ-TAHAP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HENDRI\PROYEK%202004\Madiun\RSUD%20Mad%20THP%20IVd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(E)\JINENG%20JAYA\CUKUP%20MANDIRI\Dataproj\B%20A%20L%20I\PENINSULA%203\ESKALASI\Dataproj\Gedung%20Badminton\tahap-II\BQ-TAHAP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bert\data%20(f)\TERMINAL%20TlogoWaru%20MALANG\GOR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ifs1\data\DEECE\GRAND%20HYATT\Artawan%20Poetoe\JKS\Grand%20Hyatt\2004\mOCK%20UP\Dataproj\B%20A%20L%20I\PENINSULA%203\ESKALASI\Dataproj\Gedung%20Badminton\tahap-II\BQ-TAHAP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proj\Gedung%20Badminton\tahap-II\BQ-TAHAP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01\BQ\townhouse\BQ-R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DAL-08\DATA-08%20(D)\DWI\2%20RAB%20VVIP%20HOM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5\P%20MADIUN\SMA%20UNGGULAN\RAB%20SMU%20UNGGULAN%20TENDER%20MASTER\Kembali%20ke%20ANALISA%20SNI%20-%202005%20KOREKSI%207-6-'05%20diprint%20(Aag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eraton\Data%20Proyek\2008\BQ%20BATU%20BELIG\Copy%20of%20@-BOQ%20MEP%201.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r05\hd%203%20(e)\bangkalan\pasar%20tradisional%202\GETZ\21%2002%2007\RAP%20KLAKAH%20NEW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ENAST12\Downloads\1_RAB_240608%20(1).xlsx" TargetMode="External"/><Relationship Id="rId1" Type="http://schemas.openxmlformats.org/officeDocument/2006/relationships/externalLinkPath" Target="file:///C:\Users\KEENAST12\Downloads\1_RAB_240608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000000"/>
      <sheetName val="arp-11-13"/>
      <sheetName val="ARP-9FG"/>
      <sheetName val="arp-9e"/>
      <sheetName val="arp-9h"/>
      <sheetName val="ARP-8"/>
      <sheetName val="Arp-6"/>
      <sheetName val="arp 5a"/>
      <sheetName val="arp4a"/>
      <sheetName val="arp-3a"/>
      <sheetName val="arp-3busa"/>
      <sheetName val="arp-3b"/>
      <sheetName val="ARP-10"/>
      <sheetName val="abl-1"/>
      <sheetName val="arp-1"/>
      <sheetName val="arp-16"/>
      <sheetName val="arp-17"/>
      <sheetName val="arp-18"/>
      <sheetName val="ARP-19"/>
      <sheetName val="ARP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67">
          <cell r="I167">
            <v>4.2031000000000001</v>
          </cell>
          <cell r="J167">
            <v>10.347899999999999</v>
          </cell>
          <cell r="K167">
            <v>17.413800000000002</v>
          </cell>
          <cell r="L167">
            <v>25.413000000000004</v>
          </cell>
          <cell r="M167">
            <v>31.919900000000005</v>
          </cell>
          <cell r="N167">
            <v>38.312500000000007</v>
          </cell>
          <cell r="O167">
            <v>46.787600000000005</v>
          </cell>
          <cell r="P167">
            <v>54.648300000000006</v>
          </cell>
          <cell r="Q167">
            <v>62.939400000000006</v>
          </cell>
          <cell r="R167">
            <v>73.529800000000009</v>
          </cell>
          <cell r="S167">
            <v>83.79</v>
          </cell>
          <cell r="T167">
            <v>92.869400000000013</v>
          </cell>
          <cell r="U167">
            <v>100.00049083333334</v>
          </cell>
        </row>
      </sheetData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1- STR"/>
      <sheetName val="site M"/>
      <sheetName val="Harsat3-San"/>
      <sheetName val="Harsat2-ARS"/>
      <sheetName val="Form Work"/>
      <sheetName val="Harga Material"/>
      <sheetName val="Perhit"/>
      <sheetName val="Cover"/>
      <sheetName val="Summary"/>
      <sheetName val="Harsat-2009"/>
      <sheetName val="RAB"/>
      <sheetName val="Lt I"/>
      <sheetName val="Lt II"/>
      <sheetName val="Lt III"/>
      <sheetName val="Lt IV"/>
      <sheetName val="Atap"/>
      <sheetName val="El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G9">
            <v>75000</v>
          </cell>
        </row>
        <row r="10">
          <cell r="G10">
            <v>95000</v>
          </cell>
        </row>
        <row r="11">
          <cell r="G11">
            <v>135000</v>
          </cell>
        </row>
        <row r="15">
          <cell r="G15">
            <v>11000</v>
          </cell>
        </row>
        <row r="16">
          <cell r="G16">
            <v>5000</v>
          </cell>
        </row>
        <row r="19">
          <cell r="G19">
            <v>2000</v>
          </cell>
        </row>
        <row r="23">
          <cell r="G23">
            <v>75000</v>
          </cell>
        </row>
        <row r="24">
          <cell r="G24">
            <v>625000</v>
          </cell>
        </row>
        <row r="25">
          <cell r="G25">
            <v>185000</v>
          </cell>
        </row>
        <row r="29">
          <cell r="G29">
            <v>6800000</v>
          </cell>
        </row>
        <row r="32">
          <cell r="G32">
            <v>2300000</v>
          </cell>
        </row>
        <row r="37">
          <cell r="G37">
            <v>86000</v>
          </cell>
        </row>
        <row r="48">
          <cell r="G48">
            <v>140000</v>
          </cell>
        </row>
        <row r="52">
          <cell r="G52">
            <v>95000</v>
          </cell>
        </row>
        <row r="53">
          <cell r="G53">
            <v>13000</v>
          </cell>
        </row>
        <row r="54">
          <cell r="G54">
            <v>13000</v>
          </cell>
        </row>
        <row r="58">
          <cell r="G58">
            <v>12000</v>
          </cell>
        </row>
        <row r="62">
          <cell r="G62">
            <v>11000</v>
          </cell>
        </row>
        <row r="68">
          <cell r="G68">
            <v>41100</v>
          </cell>
        </row>
        <row r="69">
          <cell r="G69">
            <v>67500</v>
          </cell>
        </row>
        <row r="70">
          <cell r="G70">
            <v>32000</v>
          </cell>
        </row>
        <row r="71">
          <cell r="G71">
            <v>34300</v>
          </cell>
        </row>
        <row r="81">
          <cell r="G81">
            <v>27500</v>
          </cell>
        </row>
        <row r="94">
          <cell r="G94">
            <v>3000</v>
          </cell>
        </row>
        <row r="95">
          <cell r="G95">
            <v>20000</v>
          </cell>
        </row>
        <row r="96">
          <cell r="G96">
            <v>19000</v>
          </cell>
        </row>
        <row r="98">
          <cell r="G98">
            <v>175000</v>
          </cell>
        </row>
        <row r="101">
          <cell r="G101">
            <v>4000</v>
          </cell>
        </row>
        <row r="106">
          <cell r="G106">
            <v>12300</v>
          </cell>
        </row>
        <row r="108">
          <cell r="G108">
            <v>7500</v>
          </cell>
        </row>
        <row r="109">
          <cell r="G109">
            <v>25000</v>
          </cell>
        </row>
        <row r="110">
          <cell r="G110">
            <v>1100</v>
          </cell>
        </row>
        <row r="112">
          <cell r="G112">
            <v>27500</v>
          </cell>
        </row>
        <row r="119">
          <cell r="G119">
            <v>15000</v>
          </cell>
        </row>
        <row r="127">
          <cell r="G127">
            <v>35000</v>
          </cell>
        </row>
        <row r="129">
          <cell r="G129">
            <v>75000</v>
          </cell>
        </row>
        <row r="130">
          <cell r="G130">
            <v>30000</v>
          </cell>
        </row>
        <row r="137">
          <cell r="G137">
            <v>8000</v>
          </cell>
        </row>
        <row r="147">
          <cell r="G147">
            <v>15000</v>
          </cell>
        </row>
        <row r="148">
          <cell r="G148">
            <v>12500</v>
          </cell>
        </row>
        <row r="149">
          <cell r="G149">
            <v>25000</v>
          </cell>
        </row>
        <row r="150">
          <cell r="G150">
            <v>20000</v>
          </cell>
        </row>
        <row r="155">
          <cell r="G155">
            <v>15700</v>
          </cell>
        </row>
        <row r="156">
          <cell r="G156">
            <v>18800</v>
          </cell>
        </row>
        <row r="158">
          <cell r="G158">
            <v>1900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</sheetNames>
    <sheetDataSet>
      <sheetData sheetId="0"/>
      <sheetData sheetId="1" refreshError="1">
        <row r="13">
          <cell r="F13">
            <v>14775</v>
          </cell>
        </row>
        <row r="23">
          <cell r="F23">
            <v>95000</v>
          </cell>
        </row>
        <row r="33">
          <cell r="F33">
            <v>3000000</v>
          </cell>
        </row>
        <row r="37">
          <cell r="F37">
            <v>1200000</v>
          </cell>
        </row>
        <row r="45">
          <cell r="F45">
            <v>135000</v>
          </cell>
        </row>
        <row r="48">
          <cell r="F48">
            <v>45000</v>
          </cell>
        </row>
        <row r="49">
          <cell r="F49">
            <v>55000</v>
          </cell>
        </row>
        <row r="50">
          <cell r="F50">
            <v>45000</v>
          </cell>
        </row>
        <row r="54">
          <cell r="F54">
            <v>2750</v>
          </cell>
        </row>
        <row r="55">
          <cell r="F55">
            <v>340000</v>
          </cell>
        </row>
        <row r="56">
          <cell r="F56">
            <v>17500</v>
          </cell>
        </row>
        <row r="65">
          <cell r="F65">
            <v>6500</v>
          </cell>
        </row>
        <row r="68">
          <cell r="F68">
            <v>600000</v>
          </cell>
        </row>
        <row r="69">
          <cell r="F69">
            <v>5500</v>
          </cell>
        </row>
        <row r="101">
          <cell r="F101">
            <v>25000</v>
          </cell>
        </row>
        <row r="104">
          <cell r="F104">
            <v>2500</v>
          </cell>
        </row>
        <row r="148">
          <cell r="F148">
            <v>8400</v>
          </cell>
        </row>
        <row r="150">
          <cell r="F150">
            <v>200</v>
          </cell>
        </row>
        <row r="155">
          <cell r="F155">
            <v>174000</v>
          </cell>
        </row>
        <row r="156">
          <cell r="F156">
            <v>85000</v>
          </cell>
        </row>
        <row r="157">
          <cell r="F157">
            <v>17500</v>
          </cell>
        </row>
        <row r="159">
          <cell r="F159">
            <v>8400</v>
          </cell>
        </row>
        <row r="161">
          <cell r="F161">
            <v>54000</v>
          </cell>
        </row>
        <row r="162">
          <cell r="F162">
            <v>960</v>
          </cell>
        </row>
        <row r="163">
          <cell r="F163">
            <v>20000</v>
          </cell>
        </row>
        <row r="165">
          <cell r="F165">
            <v>40000</v>
          </cell>
        </row>
        <row r="166">
          <cell r="F166">
            <v>47000</v>
          </cell>
        </row>
        <row r="177">
          <cell r="F177">
            <v>45000</v>
          </cell>
        </row>
        <row r="178">
          <cell r="F178">
            <v>1500</v>
          </cell>
        </row>
        <row r="182">
          <cell r="F182">
            <v>7000</v>
          </cell>
        </row>
        <row r="183">
          <cell r="F183">
            <v>125000</v>
          </cell>
        </row>
        <row r="185">
          <cell r="F185">
            <v>200000</v>
          </cell>
        </row>
        <row r="186">
          <cell r="F186">
            <v>235000</v>
          </cell>
        </row>
        <row r="187">
          <cell r="F187">
            <v>775</v>
          </cell>
        </row>
        <row r="197">
          <cell r="F197">
            <v>30000</v>
          </cell>
        </row>
        <row r="198">
          <cell r="F198">
            <v>27500</v>
          </cell>
        </row>
        <row r="201">
          <cell r="F201">
            <v>25000</v>
          </cell>
        </row>
        <row r="202">
          <cell r="F202">
            <v>27500</v>
          </cell>
        </row>
        <row r="203">
          <cell r="F203">
            <v>25000</v>
          </cell>
        </row>
        <row r="204">
          <cell r="F204">
            <v>25000</v>
          </cell>
        </row>
        <row r="205">
          <cell r="F205">
            <v>25000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1- STR"/>
      <sheetName val="site M"/>
      <sheetName val="Harsat3-San"/>
      <sheetName val="Harsat2-ARS"/>
      <sheetName val="Harsat Pintu"/>
      <sheetName val="Rekap"/>
      <sheetName val="BQ"/>
      <sheetName val="BQ-MEP"/>
      <sheetName val="Harga Satuan"/>
      <sheetName val="Form Work"/>
      <sheetName val="Harga Material"/>
      <sheetName val="Hi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>
        <row r="14">
          <cell r="G14">
            <v>1100</v>
          </cell>
        </row>
        <row r="115">
          <cell r="G115">
            <v>125000</v>
          </cell>
        </row>
      </sheetData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</sheetNames>
    <sheetDataSet>
      <sheetData sheetId="0" refreshError="1"/>
      <sheetData sheetId="1" refreshError="1">
        <row r="9">
          <cell r="F9">
            <v>27500</v>
          </cell>
        </row>
        <row r="10">
          <cell r="F10">
            <v>30000</v>
          </cell>
        </row>
        <row r="29">
          <cell r="F29">
            <v>5250000</v>
          </cell>
        </row>
        <row r="52">
          <cell r="F52">
            <v>45000</v>
          </cell>
        </row>
        <row r="119">
          <cell r="F119">
            <v>20000</v>
          </cell>
        </row>
        <row r="160">
          <cell r="F160">
            <v>300000</v>
          </cell>
        </row>
        <row r="172">
          <cell r="F172">
            <v>9600</v>
          </cell>
        </row>
        <row r="175">
          <cell r="F175">
            <v>8000</v>
          </cell>
        </row>
        <row r="176">
          <cell r="F176">
            <v>3250</v>
          </cell>
        </row>
        <row r="184">
          <cell r="F184">
            <v>100000</v>
          </cell>
        </row>
        <row r="199">
          <cell r="F199">
            <v>27500</v>
          </cell>
        </row>
        <row r="200">
          <cell r="F200">
            <v>27500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E"/>
      <sheetName val="Analis ME"/>
      <sheetName val="HB"/>
      <sheetName val="ANALIS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2.5 M"/>
      <sheetName val="SUBRKP ARS"/>
      <sheetName val="rab ARS"/>
      <sheetName val="SUB REKAP ME"/>
      <sheetName val="rab ME"/>
      <sheetName val="analisa"/>
      <sheetName val="bahan "/>
      <sheetName val="Sheet1"/>
      <sheetName val="LENTUR"/>
      <sheetName val="GESER+TORSI"/>
      <sheetName val="BEGISTING"/>
      <sheetName val="VOL"/>
      <sheetName val="rab STR"/>
      <sheetName val="Harga P"/>
      <sheetName val="Analisa P"/>
      <sheetName val="RAB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57">
          <cell r="B157" t="str">
            <v>Kepala tukang</v>
          </cell>
        </row>
        <row r="158">
          <cell r="B158" t="str">
            <v>Kepala tukang</v>
          </cell>
        </row>
        <row r="160">
          <cell r="B160" t="str">
            <v>Tukang kayu</v>
          </cell>
        </row>
        <row r="162">
          <cell r="B162" t="str">
            <v>Tukang cat</v>
          </cell>
        </row>
        <row r="167">
          <cell r="B167" t="str">
            <v>Pekerja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Work"/>
      <sheetName val="Harsat Pintu"/>
      <sheetName val="Harga Material"/>
      <sheetName val="Harsat-Bong"/>
      <sheetName val="Perhit"/>
      <sheetName val="Hit"/>
      <sheetName val="Muck up Toilet 5.3"/>
      <sheetName val="Muck up Toilet 5.2"/>
      <sheetName val="Groun tank"/>
      <sheetName val="Septictank"/>
      <sheetName val="Muck-Up Pergola Besi"/>
      <sheetName val="BQ-Flap Jacks"/>
      <sheetName val="Sheet1"/>
      <sheetName val="Swimming-pOOL"/>
      <sheetName val="Harsat-2009"/>
      <sheetName val="BQ-New Building type-C"/>
      <sheetName val="BQ-New Building-type B"/>
      <sheetName val="BQ-New Building type-A"/>
      <sheetName val="PATH WAY"/>
      <sheetName val="POOL &amp; HALAMAN pavilium"/>
      <sheetName val="BQ-PAvilium"/>
      <sheetName val="BQ-Renov Standar"/>
      <sheetName val="Preliminaries"/>
      <sheetName val="Summary"/>
    </sheetNames>
    <sheetDataSet>
      <sheetData sheetId="0" refreshError="1"/>
      <sheetData sheetId="1" refreshError="1"/>
      <sheetData sheetId="2" refreshError="1">
        <row r="34">
          <cell r="G34">
            <v>8875000</v>
          </cell>
        </row>
        <row r="52">
          <cell r="G52">
            <v>136000</v>
          </cell>
        </row>
        <row r="54">
          <cell r="G54">
            <v>246000</v>
          </cell>
        </row>
        <row r="176">
          <cell r="G176">
            <v>60000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1- STR"/>
      <sheetName val="site M"/>
      <sheetName val="Harsat3-San"/>
      <sheetName val="Harsat2-ARS"/>
      <sheetName val="Form Work"/>
      <sheetName val="Harga Material"/>
      <sheetName val="Perhit"/>
      <sheetName val="Cover"/>
      <sheetName val="Summary"/>
      <sheetName val="Harsat-2009"/>
      <sheetName val="RAB"/>
      <sheetName val="Lt I"/>
      <sheetName val="Lt II"/>
      <sheetName val="Lt III"/>
      <sheetName val="Lt IV"/>
      <sheetName val="Atap"/>
      <sheetName val="El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7">
          <cell r="O57">
            <v>425500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400000"/>
      <sheetName val="500000"/>
      <sheetName val="600000"/>
      <sheetName val="700000"/>
      <sheetName val="800000"/>
      <sheetName val="XXXXXX"/>
      <sheetName val="cover"/>
      <sheetName val="Rekap BQ"/>
      <sheetName val="BQ external"/>
      <sheetName val="BQ MESS"/>
      <sheetName val="BQ VILLA)"/>
      <sheetName val="Harga Satuan"/>
      <sheetName val="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12">
          <cell r="K112">
            <v>196380</v>
          </cell>
        </row>
        <row r="118">
          <cell r="K118">
            <v>362900</v>
          </cell>
        </row>
      </sheetData>
      <sheetData sheetId="16" refreshError="1">
        <row r="9">
          <cell r="G9">
            <v>45000</v>
          </cell>
        </row>
        <row r="11">
          <cell r="G11">
            <v>95000</v>
          </cell>
        </row>
        <row r="13">
          <cell r="G13">
            <v>900</v>
          </cell>
        </row>
        <row r="14">
          <cell r="G14">
            <v>95500</v>
          </cell>
        </row>
        <row r="27">
          <cell r="G27">
            <v>59400</v>
          </cell>
        </row>
        <row r="28">
          <cell r="G28">
            <v>50000</v>
          </cell>
        </row>
        <row r="48">
          <cell r="G48">
            <v>6300</v>
          </cell>
        </row>
        <row r="49">
          <cell r="G49">
            <v>8900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DAF_1"/>
      <sheetName val="bahan"/>
      <sheetName val="J"/>
      <sheetName val="Ven"/>
      <sheetName val="STR"/>
      <sheetName val="Cover"/>
      <sheetName val="Material"/>
      <sheetName val="Upah"/>
      <sheetName val="atap"/>
      <sheetName val="Sub"/>
      <sheetName val="Analisa Gabungan"/>
      <sheetName val="Bill rekap"/>
      <sheetName val="Bill of Qty"/>
      <sheetName val="rum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DAF_1"/>
      <sheetName val="FORM X COST"/>
      <sheetName val="BQ-Str"/>
      <sheetName val="Cover"/>
      <sheetName val="HARGA 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RWT. Inap wedok"/>
      <sheetName val="RWT. Inap Laki"/>
      <sheetName val="RWT. Inap VIP"/>
      <sheetName val="RUMAH DINAS "/>
      <sheetName val="MEKANIK 2M"/>
      <sheetName val="MEKANIK 4M"/>
      <sheetName val="MEKANIK usulan 2004"/>
      <sheetName val="R MEKANIK (2)"/>
      <sheetName val="R MEKA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-gedung"/>
      <sheetName val="SUB RKP gdg"/>
      <sheetName val="Gedung"/>
      <sheetName val="ANALISA"/>
      <sheetName val="BAHAN"/>
      <sheetName val="VO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BANGUNAN Us"/>
      <sheetName val="BANGUNAN as"/>
      <sheetName val="ANALISA"/>
      <sheetName val="FARMASI"/>
      <sheetName val="FAR me"/>
      <sheetName val="REKAP FARMASI"/>
      <sheetName val="LABORAT"/>
      <sheetName val="LAB me"/>
      <sheetName val="REKAP LABORAT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Harga Upah"/>
      <sheetName val="REKAP ESKALASI"/>
      <sheetName val="Analisa SNI"/>
      <sheetName val="INDEKS"/>
      <sheetName val="Analis Kusen 1 ESKALASI"/>
      <sheetName val="Analis Kusen 1"/>
      <sheetName val="RAB TOTALY"/>
      <sheetName val="RAB TOTALY (2)"/>
      <sheetName val="RAB TOTALY (3)"/>
      <sheetName val="RAB SIPIL MEJID"/>
      <sheetName val="RAB ARSITEK MASJID"/>
      <sheetName val="REKAP SMP"/>
      <sheetName val="RAB SIPIL SMP"/>
      <sheetName val="RAB ARSITEK SMP"/>
      <sheetName val="REKAP SMK ESKL"/>
      <sheetName val="RAB SMK ESKL"/>
      <sheetName val="REKAP KANTOR ESKL"/>
      <sheetName val="RAB SIPIL KANTOR ESKL"/>
      <sheetName val="RAB ARSITEK KANTOR ESKL"/>
      <sheetName val="REKAP SD ESKL"/>
      <sheetName val="RAB SD ESKL"/>
      <sheetName val="Rab Land SD ESKL"/>
      <sheetName val="REKAP SMA ESKL"/>
      <sheetName val="RAB SIPIL SMA ESKL"/>
      <sheetName val="RAB ARSITEK SMA ESKL"/>
      <sheetName val="REKAP LAB ESKL"/>
      <sheetName val="RAB SIPIL LAB ESKL"/>
      <sheetName val="RAB ARSITEK LAB ESKL"/>
      <sheetName val="REKEP MULTI ESKL"/>
      <sheetName val="RAB SIPIL MULTI ESKL"/>
      <sheetName val="RAB ARSITEK MULTI ESKL"/>
      <sheetName val="REKAP KANTIN"/>
      <sheetName val="RAB SIPIL KANTIN"/>
      <sheetName val="RAB ARSITEK KANTIN"/>
      <sheetName val="REKAP GOR ESKL"/>
      <sheetName val="RAB SIPIL GOR ESKL"/>
      <sheetName val="RAB ARSITEK GOR ESKL"/>
      <sheetName val="Rkp Lands 2 ESKL"/>
      <sheetName val="Lanscipe ESKL"/>
      <sheetName val="POS JAGA ESKL"/>
      <sheetName val="Harga Bahan ME"/>
      <sheetName val="Harga Upah ME"/>
      <sheetName val="REKAP ESKALASI ME "/>
      <sheetName val="Analisa SNI ME"/>
      <sheetName val="Rkp SMA"/>
      <sheetName val="Rab arc"/>
      <sheetName val="Rab SMA ME"/>
      <sheetName val="drain EDINTING"/>
      <sheetName val="Rkp SMP ESKL"/>
      <sheetName val="Rab SMP ME ESKL"/>
      <sheetName val="Rkp Office"/>
      <sheetName val="Rkp Lab"/>
      <sheetName val="Rkp Multi"/>
      <sheetName val="Rab Multi &amp; Lab. ME ESKL"/>
      <sheetName val="Rkp Masjid"/>
      <sheetName val="Rkp Kantin"/>
      <sheetName val="Rkp SMK ME ESKL"/>
      <sheetName val="RAB SMK ME ESKL"/>
      <sheetName val="Rekap SD ME ESKL"/>
      <sheetName val="Rab SD ME ESKL"/>
      <sheetName val="Rkp Gor ESKL"/>
      <sheetName val="Rab me Campur ESKL"/>
      <sheetName val="Lanscipe ME ESKL"/>
      <sheetName val="Rkp Lands 2 (2) ESK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Analisa Upah &amp; Bahan Plum"/>
      <sheetName val="NAME"/>
      <sheetName val="harsat"/>
      <sheetName val="Analisa"/>
      <sheetName val="Elektrikal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bahan"/>
      <sheetName val="upah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An Arsitektur"/>
      <sheetName val="An Struktur"/>
      <sheetName val="BOQ"/>
      <sheetName val="Unit Rate"/>
      <sheetName val="BAG_2"/>
      <sheetName val="daffin"/>
      <sheetName val="rab - persiapan &amp; lantai-1"/>
      <sheetName val="RAB Triduta"/>
      <sheetName val="BTL-Persiapan"/>
      <sheetName val="BTL-Bau"/>
      <sheetName val="BTL-alat"/>
      <sheetName val="BTL-Rupa"/>
      <sheetName val="ME Mall"/>
      <sheetName val="Harga ME "/>
      <sheetName val="analisa ARS"/>
      <sheetName val="Analisa Upah _ Bahan Plum"/>
      <sheetName val="CekList"/>
      <sheetName val="Alat"/>
      <sheetName val="Analisa RAP"/>
      <sheetName val="Analisa Schedule"/>
      <sheetName val="GRAND TOTAL"/>
      <sheetName val="Mall"/>
      <sheetName val="Material"/>
      <sheetName val="satuan_pek_str"/>
      <sheetName val="I_KAMAR"/>
      <sheetName val="I-KAMAR"/>
      <sheetName val="HSATUAN"/>
      <sheetName val="Analisa Harga Satuan"/>
      <sheetName val="Anl"/>
      <sheetName val="ES_PARK"/>
      <sheetName val="ana_str"/>
      <sheetName val="Hargamat"/>
      <sheetName val="Daftar Harga"/>
      <sheetName val="DAF_1"/>
      <sheetName val="anal"/>
      <sheetName val="DAFTAR NO_8"/>
      <sheetName val="TAMKUR "/>
      <sheetName val="REQDELTA"/>
      <sheetName val="Master 1.0"/>
      <sheetName val="Grading"/>
    </sheetNames>
    <sheetDataSet>
      <sheetData sheetId="0" refreshError="1"/>
      <sheetData sheetId="1" refreshError="1"/>
      <sheetData sheetId="2" refreshError="1">
        <row r="423">
          <cell r="K423">
            <v>606378000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DAF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G O R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0">
          <cell r="L10">
            <v>1.06</v>
          </cell>
        </row>
      </sheetData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Bahan"/>
      <sheetName val="Analisa K"/>
      <sheetName val="ANALISA 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Asrama"/>
      <sheetName val="UNIT ASRAMA"/>
      <sheetName val="Pendidikan"/>
      <sheetName val="UNIT KELAS"/>
      <sheetName val="REKAPITULASI"/>
    </sheetNames>
    <sheetDataSet>
      <sheetData sheetId="0">
        <row r="5">
          <cell r="H5">
            <v>0.98</v>
          </cell>
        </row>
      </sheetData>
      <sheetData sheetId="1"/>
      <sheetData sheetId="2">
        <row r="7">
          <cell r="K7">
            <v>0.96332098457657989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. ME"/>
      <sheetName val="RAB SIPIL"/>
      <sheetName val="RAB ME"/>
      <sheetName val="PEK ME with Tandon"/>
      <sheetName val="PEK ME Tanpa tandon"/>
    </sheetNames>
    <sheetDataSet>
      <sheetData sheetId="0"/>
      <sheetData sheetId="1"/>
      <sheetData sheetId="2" refreshError="1">
        <row r="13">
          <cell r="L13">
            <v>1.1634900249056788</v>
          </cell>
        </row>
      </sheetData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T. LAKI ME"/>
      <sheetName val="RWT. Inap VIP ME"/>
      <sheetName val="RUMAH JAGA ME"/>
      <sheetName val="POS JAGA ME"/>
      <sheetName val="RUMAH DINAS  90 ME"/>
      <sheetName val="GARASI ME  "/>
      <sheetName val="ASRAMA ME "/>
      <sheetName val="HB"/>
      <sheetName val="ANALISA"/>
      <sheetName val="REKAP Usulan 2004  oe1"/>
      <sheetName val="REKAP Usulan 2004  EE"/>
      <sheetName val="REKAP Usulan 2004 "/>
      <sheetName val="REKAP PAKET I"/>
      <sheetName val="RWT. Inap LAKI"/>
      <sheetName val="RWT. Inap VIP"/>
      <sheetName val="R JAGA"/>
      <sheetName val="REKAP PAKET II"/>
      <sheetName val="PAGAR &amp; P.NAMA"/>
      <sheetName val="RUMAH DINAS 90"/>
      <sheetName val="GARASI"/>
      <sheetName val="DEPO SAMPAH"/>
      <sheetName val="POS JAGA"/>
      <sheetName val="REKAP PAKET III"/>
      <sheetName val="ASRAMA"/>
      <sheetName val="SELASAR"/>
      <sheetName val="TANDON"/>
      <sheetName val="ME TOTAL"/>
      <sheetName val="REKAP PAKET IV"/>
      <sheetName val="INFRASTRUKTUR"/>
      <sheetName val="REKAP PAKET V"/>
      <sheetName val="R. IPAL "/>
      <sheetName val="R. IPAL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78">
          <cell r="E78">
            <v>39000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T. LAKI ME"/>
      <sheetName val="RWT. Inap VIP ME"/>
      <sheetName val="RUMAH DINAS  90 ME"/>
      <sheetName val="ASRAMA ME "/>
      <sheetName val="POS JAGA ME"/>
      <sheetName val="RUMAH JAGA ME"/>
      <sheetName val="GARASI ME  "/>
      <sheetName val="HB"/>
      <sheetName val="ANALISA"/>
      <sheetName val="REKAP Usulan 2004"/>
      <sheetName val="RWT. Inap LAKI"/>
      <sheetName val="ASRAMA"/>
      <sheetName val="RUMAH DINAS 90"/>
      <sheetName val="R JAGA"/>
      <sheetName val="RWT. Inap VIP"/>
      <sheetName val="R. IPAL "/>
      <sheetName val="PAGAR &amp; P.NAMA"/>
      <sheetName val="SELASAR"/>
      <sheetName val="GARASI"/>
      <sheetName val="POS JAGA"/>
      <sheetName val="INFRASTRUKTUR"/>
      <sheetName val="ME TOTAL"/>
      <sheetName val=" REKAP_SIMPEL"/>
      <sheetName val="REKAP EE"/>
      <sheetName val="1.A. STD_STR"/>
      <sheetName val="1. B. STD_ARC"/>
      <sheetName val="B.2.1 NON STD_PEMAT &amp; DDG PNHN"/>
      <sheetName val="Lnascape"/>
      <sheetName val="Drainase KAwasan"/>
      <sheetName val="Pondasi DAlam"/>
      <sheetName val="B_2_1 NON STD_PEMAT _ DDG PN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8">
          <cell r="F78">
            <v>39000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G O R"/>
    </sheetNames>
    <sheetDataSet>
      <sheetData sheetId="0"/>
      <sheetData sheetId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DAF_1"/>
      <sheetName val="SELL-SUMM-COST"/>
      <sheetName val="Rekap Direct Cost"/>
      <sheetName val="Analisa -Baku"/>
      <sheetName val="Price"/>
      <sheetName val="Management"/>
      <sheetName val="name"/>
      <sheetName val="Tie Beam GN"/>
      <sheetName val="PileCap"/>
      <sheetName val="Cover"/>
      <sheetName val="BQ ARS"/>
      <sheetName val="DAF-7"/>
      <sheetName val="IPL_SCHEDULE"/>
      <sheetName val="HARGA MATERIAL"/>
      <sheetName val="Daftar 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DAF_1"/>
      <sheetName val="Price Biaya Cadangan"/>
      <sheetName val="BQ.Rekapitulasi  Akhir"/>
      <sheetName val="Form-3.3"/>
      <sheetName val="Tataudara"/>
      <sheetName val="STR(CANCEL)"/>
      <sheetName val="BQ_Rekapitulasi  Akhir"/>
      <sheetName val="STR"/>
      <sheetName val="Rekap"/>
      <sheetName val="Cover"/>
      <sheetName val="Cover Daf-2"/>
      <sheetName val="TOWN"/>
      <sheetName val="ALAT"/>
      <sheetName val="Rekap Direct Cost"/>
      <sheetName val="Spec ME"/>
      <sheetName val="Cost Summary"/>
      <sheetName val="Sales"/>
      <sheetName val="H.Satuan"/>
      <sheetName val="000000"/>
      <sheetName val="A"/>
      <sheetName val="Analisa BOW 07"/>
      <sheetName val="BQ-TAHAP2"/>
      <sheetName val="Cover Daf_2"/>
      <sheetName val="Rate"/>
      <sheetName val="Upah_Bahan"/>
      <sheetName val="Mall"/>
      <sheetName val="Koefisien"/>
      <sheetName val="PL _5 LT "/>
      <sheetName val="Plumbing"/>
      <sheetName val="Harga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AN"/>
      <sheetName val="INPUT"/>
      <sheetName val="Cover Daf_2"/>
      <sheetName val="Bill No.1"/>
      <sheetName val="ELEKTRIKAL"/>
      <sheetName val="SAT-DAS"/>
      <sheetName val="HARSAT"/>
      <sheetName val="DAF-1"/>
      <sheetName val="Material"/>
      <sheetName val="OUT"/>
      <sheetName val="CAT_HAR"/>
      <sheetName val="rINCIAN"/>
      <sheetName val="Cover Daf-2"/>
      <sheetName val="AHSbj"/>
      <sheetName val="Analisa"/>
      <sheetName val="DAF-2"/>
      <sheetName val="ANALISA TENDER"/>
      <sheetName val="Rekap"/>
      <sheetName val="ALAT"/>
      <sheetName val="Agregat Halus &amp; Kasar"/>
      <sheetName val="H.Satuan"/>
      <sheetName val="Summary "/>
      <sheetName val="UPAH PEKERJA"/>
      <sheetName val="Rekap Biaya"/>
      <sheetName val="Sheet1"/>
      <sheetName val="rab_analisa"/>
      <sheetName val="Infra"/>
      <sheetName val="Rekap Direct Cost"/>
      <sheetName val="ANAL KOEF"/>
      <sheetName val="ANL-PEK"/>
      <sheetName val="Bill No 2.1 "/>
      <sheetName val="BAG_2"/>
      <sheetName val="STR"/>
      <sheetName val="harga"/>
      <sheetName val="STR(CANCEL)"/>
      <sheetName val="BAG-2"/>
      <sheetName val="Price Biaya Cadangan"/>
      <sheetName val="BQ.Rekapitulasi  Akhir"/>
      <sheetName val="Harsat_El"/>
      <sheetName val="Sales"/>
      <sheetName val="Cover"/>
      <sheetName val="Koefisien"/>
      <sheetName val="rekap-analis"/>
      <sheetName val="H_Satuan"/>
      <sheetName val="HargaDsrBhn"/>
      <sheetName val="SBDY"/>
      <sheetName val="NP"/>
      <sheetName val="1.REK"/>
      <sheetName val="Normalisasi"/>
      <sheetName val="Produksi "/>
      <sheetName val="DSU-2"/>
      <sheetName val="AHS Marka"/>
      <sheetName val="SCHEDULE"/>
      <sheetName val="Sumber Daya"/>
      <sheetName val="BL"/>
      <sheetName val="rab me (by owner) "/>
      <sheetName val="BQ (by owner)"/>
      <sheetName val="rab me (fisik)"/>
      <sheetName val="formminat"/>
      <sheetName val="fill in first"/>
      <sheetName val="Form-3.3"/>
      <sheetName val="Monitor"/>
      <sheetName val="B"/>
      <sheetName val="SAP"/>
      <sheetName val="UPAHBAHAN"/>
      <sheetName val="Tataudara"/>
      <sheetName val="BQ_Rekapitulasi  Akhir"/>
      <sheetName val="D2.2"/>
      <sheetName val="A"/>
      <sheetName val="Daf 1 Prelim"/>
      <sheetName val="index"/>
      <sheetName val="BQ ARS"/>
      <sheetName val="2.1"/>
      <sheetName val="2.2"/>
      <sheetName val="ANALISA-1"/>
      <sheetName val="DAPRO"/>
      <sheetName val="DAFTAR ISI"/>
      <sheetName val="000000"/>
      <sheetName val="Rekap-Bdg"/>
      <sheetName val="REF.ONLY"/>
      <sheetName val="토공사B동추가"/>
      <sheetName val="ANALISA PEK.UMUM"/>
      <sheetName val="Bill No_1"/>
      <sheetName val="daf-3(OK)"/>
      <sheetName val="daf-7(OK)"/>
      <sheetName val="Bahan"/>
      <sheetName val="#REF!"/>
      <sheetName val="FINISHING"/>
      <sheetName val="div10"/>
      <sheetName val="boq"/>
      <sheetName val="AC"/>
      <sheetName val="ENG-101"/>
      <sheetName val="BQ-1A"/>
      <sheetName val="ARSITEKTUR"/>
      <sheetName val="BQ"/>
      <sheetName val="HARGA MATERIAL"/>
      <sheetName val="RKP.ANL"/>
      <sheetName val="Upah"/>
      <sheetName val="DKH"/>
      <sheetName val="DAF_2"/>
      <sheetName val="DAF_1"/>
      <sheetName val="mA THP 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SNI"/>
      <sheetName val="COVER"/>
      <sheetName val="RKP1"/>
      <sheetName val="RAB1"/>
      <sheetName val="ANL1"/>
      <sheetName val="BHN1"/>
      <sheetName val="RKPUS"/>
      <sheetName val="RABUS"/>
      <sheetName val="RKP5M"/>
      <sheetName val="RAB5M"/>
      <sheetName val="RKP2"/>
      <sheetName val="RAB2"/>
      <sheetName val="ANL2"/>
      <sheetName val="BHN2"/>
      <sheetName val="v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66">
          <cell r="F166">
            <v>45000</v>
          </cell>
        </row>
        <row r="167">
          <cell r="F167">
            <v>40000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me"/>
      <sheetName val="ANALISA me"/>
      <sheetName val="Bahan"/>
      <sheetName val="Analisa K"/>
      <sheetName val="ANALISA "/>
      <sheetName val="ANALISA  KUSEN MASJID"/>
      <sheetName val="ANALISA  KUSEN GOR"/>
      <sheetName val="ANALISA  KUSEN ASRAMA"/>
      <sheetName val="ANALISA  KUSEN KELAS"/>
      <sheetName val="Penunjang- masjid"/>
      <sheetName val="MASJID"/>
      <sheetName val="SARANA &amp; P"/>
      <sheetName val="LAP OUT DOOR"/>
      <sheetName val="GOR"/>
      <sheetName val="UNIT GOR"/>
      <sheetName val="Asrama"/>
      <sheetName val="UNIT ASRAMA"/>
      <sheetName val="Pendidikan"/>
      <sheetName val="UNIT KELAS"/>
      <sheetName val="REKAPITULASI"/>
      <sheetName val="REKAPITULASI EE"/>
      <sheetName val="REKAPITULASI O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"/>
      <sheetName val="Pipa"/>
      <sheetName val="Lis supreme"/>
      <sheetName val="FED"/>
      <sheetName val="Equipment"/>
      <sheetName val="AC (2)"/>
      <sheetName val="VALVE"/>
      <sheetName val="Panel"/>
      <sheetName val="COVER"/>
      <sheetName val="GRAND TOTAL"/>
      <sheetName val="Prelim"/>
      <sheetName val="Feeder &amp; Panel"/>
      <sheetName val="Electrical"/>
      <sheetName val="Telp,TV &amp; Data"/>
      <sheetName val="CWP &amp; HWP"/>
      <sheetName val="SWP &amp; WWP"/>
      <sheetName val="RWP"/>
      <sheetName val="Sanitary"/>
      <sheetName val="POND"/>
      <sheetName val="SPA"/>
      <sheetName val="SW POOL"/>
      <sheetName val="AIR COND"/>
      <sheetName val="GENSET"/>
      <sheetName val="LPI"/>
      <sheetName val="DEEP WELL"/>
      <sheetName val="Provisional"/>
      <sheetName val="Sheet17"/>
      <sheetName val="Sheet18"/>
      <sheetName val="Sheet19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Upah Beton , UPAH "/>
      <sheetName val="Material"/>
      <sheetName val="AnalisaSIPIL1"/>
      <sheetName val="BEST. BESI"/>
      <sheetName val="BEST. BEGESTING"/>
      <sheetName val="RAB"/>
      <sheetName val="ME"/>
      <sheetName val="PLUMBING"/>
      <sheetName val=" Bahan"/>
      <sheetName val="Upah"/>
      <sheetName val="Analisa LUMAJANG SNI"/>
      <sheetName val="Analisa SNI STANDART "/>
      <sheetName val="DAF-1"/>
      <sheetName val="A"/>
      <sheetName val="Fill this out first___"/>
      <sheetName val="coeff"/>
      <sheetName val="Cover"/>
      <sheetName val="HRG BAHAN &amp; UPAH okk"/>
      <sheetName val="Analis Kusen okk"/>
      <sheetName val="Pipe"/>
      <sheetName val="Fill this out first..."/>
      <sheetName val="BHN1"/>
      <sheetName val="Breakdown"/>
      <sheetName val="BAG-2"/>
      <sheetName val="DAF-2"/>
      <sheetName val="struktur tdk dipakai"/>
      <sheetName val="H.Satuan"/>
      <sheetName val="UnitR"/>
      <sheetName val="Estimate"/>
      <sheetName val="Analisa"/>
      <sheetName val="Str BT"/>
      <sheetName val="ganda"/>
      <sheetName val="12CGOU"/>
      <sheetName val="LISTRIK"/>
      <sheetName val="ANALISA railing"/>
      <sheetName val="Rekap Prelim"/>
      <sheetName val="Sheet1"/>
      <sheetName val="Metode 1"/>
      <sheetName val="HarSat"/>
      <sheetName val="Conn. Lib"/>
      <sheetName val="Anls Teknis"/>
      <sheetName val="HRG BHN"/>
      <sheetName val="daftar harga"/>
      <sheetName val="DIV2"/>
      <sheetName val="HARGA MATERIAL"/>
      <sheetName val="elektrikal"/>
      <sheetName val="Rekapitulasi"/>
      <sheetName val="MAP"/>
      <sheetName val="NAMES"/>
      <sheetName val="Currency"/>
      <sheetName val="H_Satuan"/>
      <sheetName val="Price "/>
      <sheetName val="Ana. PU"/>
      <sheetName val="HAL-1"/>
      <sheetName val="DashB"/>
      <sheetName val="Master 1.0"/>
      <sheetName val="Harsat Bahan"/>
      <sheetName val="38"/>
      <sheetName val="Agregat Halus &amp; Kasar"/>
      <sheetName val="BOX 설계"/>
      <sheetName val="alat"/>
      <sheetName val="내역서"/>
      <sheetName val="SAT-DAS"/>
      <sheetName val="Daywork1"/>
      <sheetName val="masterppm"/>
      <sheetName val="OwnEq"/>
      <sheetName val="1"/>
      <sheetName val="Man Power &amp; Comp"/>
      <sheetName val="BoQrap"/>
      <sheetName val="supporting data"/>
      <sheetName val="Harga Bahan"/>
      <sheetName val="Antek-2"/>
      <sheetName val="Dftr Barang"/>
      <sheetName val="REFF"/>
      <sheetName val="Rekap-SD"/>
      <sheetName val="std.wt."/>
      <sheetName val="Analis_Upah_Beton_,_UPAH_"/>
      <sheetName val="BEST__BESI"/>
      <sheetName val="BEST__BEGESTING"/>
      <sheetName val="_Bahan"/>
      <sheetName val="Analisa_LUMAJANG_SNI"/>
      <sheetName val="Analisa_SNI_STANDART_"/>
      <sheetName val="Rekap_Prelim"/>
      <sheetName val="Metode_1"/>
      <sheetName val="Conn__Lib"/>
      <sheetName val="HRG_BAHAN_&amp;_UPAH_okk"/>
      <sheetName val="Analis_Kusen_okk"/>
      <sheetName val="Anls_Teknis"/>
      <sheetName val="HRG_BHN"/>
      <sheetName val="Str_BT"/>
      <sheetName val="struktur_tdk_dipakai"/>
      <sheetName val="daftar_harga"/>
      <sheetName val="HARGA_MATERIAL"/>
      <sheetName val="B - Norelec"/>
      <sheetName val="REQDELTA"/>
      <sheetName val="data"/>
      <sheetName val="DaftarHS"/>
      <sheetName val="Enc14"/>
      <sheetName val="UPH"/>
      <sheetName val="HS"/>
      <sheetName val="Grandtotals"/>
      <sheetName val="pricing"/>
      <sheetName val="mu"/>
      <sheetName val="gvl"/>
      <sheetName val="Cover Daf-2"/>
      <sheetName val="MAPP"/>
      <sheetName val="REKAP"/>
      <sheetName val="PriceList"/>
      <sheetName val="Sub"/>
      <sheetName val="RAP"/>
      <sheetName val="ELEK"/>
      <sheetName val="APRON TAHAP I"/>
      <sheetName val="AnalisaSIPIL RIIL"/>
      <sheetName val="인사자료총집계"/>
      <sheetName val="Harsat_Bahan"/>
      <sheetName val="Ana__PU"/>
      <sheetName val="H_Satuan1"/>
      <sheetName val="Master_1_0"/>
      <sheetName val="ANALISA_railing"/>
      <sheetName val="Fill_this_out_first___"/>
      <sheetName val="Fill_this_out_first___1"/>
      <sheetName val="Agregat_Halus_&amp;_Kasar"/>
      <sheetName val="BOX_설계"/>
      <sheetName val="supporting_data"/>
      <sheetName val="APRON_TAHAP_I"/>
      <sheetName val="AnalisaSIPIL_RIIL"/>
      <sheetName val="Perm. Test"/>
      <sheetName val="Konfirm"/>
      <sheetName val="BOQ SNJ 1"/>
      <sheetName val="Material&amp;Alat"/>
      <sheetName val="DB"/>
      <sheetName val="BASIC"/>
      <sheetName val="rab lt 2 bo"/>
      <sheetName val="21"/>
      <sheetName val="Harga Satuan"/>
      <sheetName val="Public Area"/>
      <sheetName val="RM IA"/>
      <sheetName val="#REF"/>
      <sheetName val="Rekaman"/>
      <sheetName val="Kuantitas &amp; Harga"/>
      <sheetName val="BAU"/>
      <sheetName val="name"/>
      <sheetName val="Penawaran"/>
      <sheetName val="Hsatuan-OK"/>
      <sheetName val="bahan dan upah"/>
      <sheetName val="Bab 6 -3(5)"/>
      <sheetName val="2.3(2) Gor"/>
      <sheetName val="8.4.2 Rambu"/>
      <sheetName val="96.12"/>
      <sheetName val="BasicPrice"/>
      <sheetName val="daya"/>
      <sheetName val="H.DASAR"/>
      <sheetName val="GEDUNG-A"/>
      <sheetName val="Huruf"/>
      <sheetName val="Parameter"/>
      <sheetName val="BoQ"/>
      <sheetName val="INDEX"/>
      <sheetName val="UBA"/>
      <sheetName val="Sheet2"/>
      <sheetName val="Analisa RAP"/>
      <sheetName val="Control Document"/>
      <sheetName val=" 갑지"/>
      <sheetName val="FINAL-Full"/>
      <sheetName val="BU "/>
      <sheetName val="Owning-Cost"/>
      <sheetName val="PERSIAPAN"/>
      <sheetName val="PRICE"/>
      <sheetName val="Pek_Persiapan"/>
      <sheetName val="HARSAT-lain"/>
      <sheetName val="HARSAT-lhn"/>
      <sheetName val="HARSAT-tanah"/>
      <sheetName val="KEBAL"/>
      <sheetName val="KEBMAT"/>
      <sheetName val="Analisa Teknik"/>
      <sheetName val="Analisa Teknik3"/>
      <sheetName val="Analisa Teknik4"/>
      <sheetName val="Faktor Efisiensi"/>
      <sheetName val="Sikl-Dozer"/>
      <sheetName val="Sikl-Excav"/>
      <sheetName val="rekap-DC"/>
      <sheetName val="HARSAT-lain DC"/>
      <sheetName val="Antek-lama"/>
      <sheetName val="LC-Hutan"/>
      <sheetName val="LC-KEBUN"/>
      <sheetName val="LC-Kebun Jeruk"/>
      <sheetName val="LC-Bekas Tebang"/>
      <sheetName val="LC-SEMAK BELUKAR BERAT"/>
      <sheetName val="LC-SEMAK Belukar Ringan"/>
      <sheetName val="LC-Alang2_Pd Rumput"/>
      <sheetName val="CM-BETON"/>
      <sheetName val="CM-BATU"/>
      <sheetName val="Beton-E"/>
      <sheetName val="Pasbatu"/>
      <sheetName val="Beton-A"/>
      <sheetName val="Beton-B"/>
      <sheetName val="Beton-C1"/>
      <sheetName val="Beton-C2"/>
      <sheetName val="Beton-D"/>
      <sheetName val="AnTek_3-2"/>
      <sheetName val="AnTek_4-1"/>
      <sheetName val="AnTek_6-1"/>
      <sheetName val="AnTek_4-2"/>
      <sheetName val="AnTek_5-"/>
      <sheetName val="AnTek_4-1_un"/>
      <sheetName val="Analisa Teknik lain"/>
      <sheetName val="Analisa Teknik4 (2)"/>
      <sheetName val="Boq-A"/>
      <sheetName val="Boq-B"/>
      <sheetName val="1.1 ALAT TULIS KANTOR"/>
      <sheetName val="Sumber Daya"/>
      <sheetName val="ANGGARAN"/>
      <sheetName val="MAP 1-2"/>
      <sheetName val="HargaBahan"/>
      <sheetName val="BUDGET"/>
      <sheetName val="Indirect_Const"/>
      <sheetName val="7.공정표"/>
      <sheetName val="BBM-03"/>
      <sheetName val="prog-mgu"/>
      <sheetName val="product"/>
      <sheetName val="RAP KLAKAH NEW"/>
      <sheetName val="HOK-K210"/>
      <sheetName val="Price Biaya Cadangan"/>
      <sheetName val="BQ.Rekapitulasi  Akhir"/>
      <sheetName val="MINGGU B 14-17"/>
      <sheetName val="MINGGU A 14-17"/>
      <sheetName val="MINGGU F 14-17"/>
      <sheetName val="61004"/>
      <sheetName val="61007"/>
      <sheetName val="61008"/>
      <sheetName val="EVAL-ANAL"/>
      <sheetName val="RKP"/>
      <sheetName val="div-2"/>
      <sheetName val="REKAP Prbndingn"/>
      <sheetName val="Ch"/>
      <sheetName val="Stay Cable PDMR2"/>
      <sheetName val="PO-2"/>
      <sheetName val="5.1-5.4(1)-5.4(2)"/>
      <sheetName val="Cash2"/>
      <sheetName val="Daft 2.1"/>
      <sheetName val="bq"/>
      <sheetName val="FINISHING"/>
      <sheetName val="dasar"/>
      <sheetName val="1.B"/>
      <sheetName val="NP"/>
      <sheetName val="TABEL"/>
      <sheetName val="Z"/>
      <sheetName val="Supl.X"/>
      <sheetName val="RAB FULL"/>
      <sheetName val="Tanah"/>
      <sheetName val="jobhist"/>
      <sheetName val="ListAnalisa"/>
      <sheetName val="HS-1"/>
      <sheetName val="hst"/>
      <sheetName val="srtberkas"/>
      <sheetName val="KOEF"/>
      <sheetName val="terbilang"/>
      <sheetName val="GAJI"/>
      <sheetName val="Rincian "/>
      <sheetName val="Bekisting"/>
      <sheetName val="PRD01-5"/>
      <sheetName val="Daftar Upah"/>
      <sheetName val="prelim"/>
      <sheetName val="anal2"/>
      <sheetName val="DIV.9"/>
      <sheetName val="HARGA DASAR"/>
      <sheetName val="UMUM-PU"/>
      <sheetName val="TAGIHAN"/>
      <sheetName val="Schedule 11a"/>
      <sheetName val="Temporary"/>
      <sheetName val="Septick tank"/>
      <sheetName val="Subkon"/>
      <sheetName val="Hardas"/>
      <sheetName val="Anl.+"/>
      <sheetName val="112-885"/>
      <sheetName val="1.2"/>
      <sheetName val="SAP"/>
      <sheetName val="bhn_upah"/>
      <sheetName val="Rekap Direct Cost"/>
      <sheetName val="UMUM"/>
      <sheetName val="BPS"/>
      <sheetName val="Testing"/>
      <sheetName val="basic_price"/>
      <sheetName val="CondPol"/>
      <sheetName val="SEX"/>
      <sheetName val="Penyusutan Kendaraan"/>
      <sheetName val="CF-satu"/>
      <sheetName val="CF Rp-USD"/>
      <sheetName val="Penwrn"/>
      <sheetName val="Up &amp; bhn"/>
      <sheetName val="har-sat"/>
      <sheetName val="Str"/>
      <sheetName val="Analis_Upah_Beton_,_UPAH_1"/>
      <sheetName val="BEST__BESI1"/>
      <sheetName val="BEST__BEGESTING1"/>
      <sheetName val="_Bahan1"/>
      <sheetName val="Analisa_LUMAJANG_SNI1"/>
      <sheetName val="Analisa_SNI_STANDART_1"/>
      <sheetName val="Ana__PU1"/>
      <sheetName val="struktur_tdk_dipakai1"/>
      <sheetName val="H_Satuan2"/>
      <sheetName val="HARGA_MATERIAL1"/>
      <sheetName val="Str_BT1"/>
      <sheetName val="HRG_BAHAN_&amp;_UPAH_okk1"/>
      <sheetName val="Analis_Kusen_okk1"/>
      <sheetName val="HRG_BHN1"/>
      <sheetName val="daftar_harga1"/>
      <sheetName val="Master_1_01"/>
      <sheetName val="Harsat_Bahan1"/>
      <sheetName val="ANALISA_railing1"/>
      <sheetName val="Fill_this_out_first___2"/>
      <sheetName val="Rekap_Prelim1"/>
      <sheetName val="Metode_11"/>
      <sheetName val="Conn__Lib1"/>
      <sheetName val="Anls_Teknis1"/>
      <sheetName val="Fill_this_out_first___3"/>
      <sheetName val="Agregat_Halus_&amp;_Kasar1"/>
      <sheetName val="BOX_설계1"/>
      <sheetName val="supporting_data1"/>
      <sheetName val="APRON_TAHAP_I1"/>
      <sheetName val="AnalisaSIPIL_RIIL1"/>
      <sheetName val="Perm__Test"/>
      <sheetName val="BOQ_SNJ_1"/>
      <sheetName val="Kuantitas_&amp;_Harga"/>
      <sheetName val="Dftr_Barang"/>
      <sheetName val="std_wt_"/>
      <sheetName val="Harga_Bahan"/>
      <sheetName val="B_-_Norelec"/>
      <sheetName val="Analisa_RAP"/>
      <sheetName val="Cover_Daf-2"/>
      <sheetName val="rab_lt_2_bo"/>
      <sheetName val="H_DASAR"/>
      <sheetName val="Control_Document"/>
      <sheetName val="_갑지"/>
      <sheetName val="BU_"/>
      <sheetName val="Analisa_Teknik"/>
      <sheetName val="Analisa_Teknik3"/>
      <sheetName val="Analisa_Teknik4"/>
      <sheetName val="Faktor_Efisiensi"/>
      <sheetName val="HARSAT-lain_DC"/>
      <sheetName val="LC-Kebun_Jeruk"/>
      <sheetName val="LC-Bekas_Tebang"/>
      <sheetName val="LC-SEMAK_BELUKAR_BERAT"/>
      <sheetName val="LC-SEMAK_Belukar_Ringan"/>
      <sheetName val="LC-Alang2_Pd_Rumput"/>
      <sheetName val="Analisa_Teknik_lain"/>
      <sheetName val="Analisa_Teknik4_(2)"/>
      <sheetName val="1_1_ALAT_TULIS_KANTOR"/>
      <sheetName val="Sumber_Daya"/>
      <sheetName val="7_공정표"/>
      <sheetName val="MINGGU_B_14-17"/>
      <sheetName val="MINGGU_A_14-17"/>
      <sheetName val="MINGGU_F_14-17"/>
      <sheetName val="REKAP_Prbndingn"/>
      <sheetName val="bahan_dan_upah"/>
      <sheetName val="Bab_6_-3(5)"/>
      <sheetName val="2_3(2)_Gor"/>
      <sheetName val="8_4_2_Rambu"/>
      <sheetName val="Price_Biaya_Cadangan"/>
      <sheetName val="BQ_Rekapitulasi__Akhir"/>
      <sheetName val="Daft_2_1"/>
      <sheetName val="1_B"/>
      <sheetName val="Supl_X"/>
      <sheetName val="RAB_FULL"/>
      <sheetName val="5_1-5_4(1)-5_4(2)"/>
      <sheetName val="RAP_KLAKAH_NEW"/>
      <sheetName val="MAP_1-2"/>
      <sheetName val="Analisa STR"/>
      <sheetName val="Back-Up"/>
      <sheetName val="anls"/>
      <sheetName val="TB"/>
      <sheetName val="Upah_Bahan"/>
      <sheetName val="Rekap-Bdg"/>
      <sheetName val="Isolasi Luar Dalam"/>
      <sheetName val="Isolasi Luar"/>
      <sheetName val="Ex_Rate&amp;I Input Data"/>
      <sheetName val="Rekap RAP real (2)"/>
      <sheetName val="RAB.SEKRETARIAT (1)"/>
      <sheetName val="DKH"/>
      <sheetName val="PLANT"/>
      <sheetName val="PRIST LIST"/>
      <sheetName val="HB me"/>
      <sheetName val="struktur"/>
      <sheetName val="villa"/>
      <sheetName val="13.Nangakara Weir"/>
      <sheetName val="14.Irr.Canal Work"/>
      <sheetName val="15.Irr. Struc.Work"/>
      <sheetName val="16.Pipe Inst."/>
      <sheetName val="18.Lateral Pipe"/>
      <sheetName val="Sat~Bahu"/>
      <sheetName val="1.General "/>
      <sheetName val="gal"/>
      <sheetName val="XREF"/>
      <sheetName val="basic-price"/>
      <sheetName val="概総括1"/>
      <sheetName val="sch 1.2"/>
      <sheetName val="DI-ESTI"/>
      <sheetName val="Submission Form"/>
      <sheetName val="totaL"/>
      <sheetName val="HW"/>
      <sheetName val="Operations"/>
      <sheetName val="C"/>
      <sheetName val="Harga Bahan &amp; Upah "/>
      <sheetName val="faktor &amp; disc"/>
      <sheetName val="Basic Price"/>
      <sheetName val="P-6"/>
      <sheetName val="P-2"/>
      <sheetName val="P-5"/>
      <sheetName val="Daftar"/>
      <sheetName val="RUKO TYPE 1"/>
      <sheetName val="Written"/>
      <sheetName val="LAMP-A"/>
      <sheetName val="NP umum"/>
      <sheetName val="ANLS "/>
      <sheetName val="Siring Bt Kajang"/>
      <sheetName val="Volume"/>
      <sheetName val="Analisa 2"/>
      <sheetName val="SBDY"/>
      <sheetName val="rINCIAN"/>
      <sheetName val="FORM"/>
      <sheetName val="extern"/>
      <sheetName val="POL"/>
      <sheetName val="BQ_bakter"/>
      <sheetName val="notasi"/>
      <sheetName val="jalur-TH-INI"/>
      <sheetName val="jalur-th-lalu"/>
      <sheetName val="S-Curve"/>
      <sheetName val="PERALATAN PROYEK GOL III A"/>
      <sheetName val="DATA PROYEK"/>
      <sheetName val="sdm"/>
      <sheetName val="Sheet4"/>
      <sheetName val="pt-perso"/>
      <sheetName val="PRY 01-3"/>
      <sheetName val="Superstruc"/>
      <sheetName val="S_DAYA"/>
      <sheetName val="MT_an"/>
      <sheetName val="5-ALAT(1)"/>
      <sheetName val="VOL"/>
      <sheetName val="INPUT"/>
      <sheetName val="telp"/>
      <sheetName val="Harga"/>
      <sheetName val="hasat"/>
      <sheetName val="Hargamat"/>
      <sheetName val="610.03a 15-7"/>
      <sheetName val="GeneralInfo"/>
      <sheetName val="H-SAT"/>
      <sheetName val="bd"/>
      <sheetName val="Permanent info"/>
      <sheetName val="Sensitivitas"/>
      <sheetName val="A-12"/>
      <sheetName val="URTEK"/>
      <sheetName val="CTEMCOST"/>
      <sheetName val="PDS U-1400"/>
      <sheetName val="Eng_Hrs (HO)"/>
      <sheetName val="351BQMCN"/>
      <sheetName val="钢筋"/>
      <sheetName val="Eng_Hrs"/>
      <sheetName val="Cable Schedule (2)"/>
      <sheetName val="Quote"/>
      <sheetName val="E450"/>
      <sheetName val="DIV 5 6"/>
      <sheetName val="HYPOTHESES"/>
      <sheetName val="Dasar Pemadaman"/>
      <sheetName val="CiMaPlbStd"/>
      <sheetName val="TABEL SFC"/>
      <sheetName val="OE (KSB)"/>
      <sheetName val="BD Div-2 sd 7.6"/>
      <sheetName val="DSU-2"/>
      <sheetName val="tifico"/>
      <sheetName val="ANTEK-1"/>
      <sheetName val="Analis_Upah_Beton_,_UPAH_2"/>
      <sheetName val="BEST__BESI2"/>
      <sheetName val="BEST__BEGESTING2"/>
      <sheetName val="_Bahan2"/>
      <sheetName val="Analisa_LUMAJANG_SNI2"/>
      <sheetName val="Analisa_SNI_STANDART_2"/>
      <sheetName val="Harga_Bahan1"/>
      <sheetName val="B_-_Norelec1"/>
      <sheetName val="struktur_tdk_dipakai2"/>
      <sheetName val="Rekap_Prelim2"/>
      <sheetName val="Metode_12"/>
      <sheetName val="Conn__Lib2"/>
      <sheetName val="HRG_BAHAN_&amp;_UPAH_okk2"/>
      <sheetName val="Analis_Kusen_okk2"/>
      <sheetName val="Anls_Teknis2"/>
      <sheetName val="HRG_BHN2"/>
      <sheetName val="Str_BT2"/>
      <sheetName val="daftar_harga2"/>
      <sheetName val="HARGA_MATERIAL2"/>
      <sheetName val="Dftr_Barang1"/>
      <sheetName val="std_wt_1"/>
      <sheetName val="Cover_Daf-21"/>
      <sheetName val="Analisa_RAP1"/>
      <sheetName val="Analis_Upah_Beton_,_UPAH_3"/>
      <sheetName val="BEST__BESI3"/>
      <sheetName val="BEST__BEGESTING3"/>
      <sheetName val="_Bahan3"/>
      <sheetName val="Analisa_LUMAJANG_SNI3"/>
      <sheetName val="Analisa_SNI_STANDART_3"/>
      <sheetName val="Harga_Bahan2"/>
      <sheetName val="B_-_Norelec2"/>
      <sheetName val="Fill_this_out_first___4"/>
      <sheetName val="struktur_tdk_dipakai3"/>
      <sheetName val="H_Satuan3"/>
      <sheetName val="BOX_설계2"/>
      <sheetName val="Rekap_Prelim3"/>
      <sheetName val="Metode_13"/>
      <sheetName val="Conn__Lib3"/>
      <sheetName val="HRG_BAHAN_&amp;_UPAH_okk3"/>
      <sheetName val="Analis_Kusen_okk3"/>
      <sheetName val="Anls_Teknis3"/>
      <sheetName val="HRG_BHN3"/>
      <sheetName val="Str_BT3"/>
      <sheetName val="daftar_harga3"/>
      <sheetName val="HARGA_MATERIAL3"/>
      <sheetName val="Dftr_Barang2"/>
      <sheetName val="Agregat_Halus_&amp;_Kasar2"/>
      <sheetName val="Ana__PU2"/>
      <sheetName val="supporting_data2"/>
      <sheetName val="ANALISA_railing2"/>
      <sheetName val="std_wt_2"/>
      <sheetName val="Harsat_Bahan2"/>
      <sheetName val="Fill_this_out_first___5"/>
      <sheetName val="Master_1_02"/>
      <sheetName val="Cover_Daf-22"/>
      <sheetName val="Analisa_RAP2"/>
      <sheetName val="jadw"/>
      <sheetName val="Dist_analys"/>
      <sheetName val="page 6"/>
      <sheetName val="Raw Data"/>
      <sheetName val="OrgRates2000"/>
      <sheetName val="2. BQ"/>
      <sheetName val="Section"/>
      <sheetName val="ocean voyage"/>
      <sheetName val="XL4Poppy"/>
      <sheetName val="bahan"/>
      <sheetName val="TOWN"/>
      <sheetName val="RFP009"/>
      <sheetName val="Man_Power_&amp;_Comp"/>
      <sheetName val="Harga_Bahan_&amp;_Upah_"/>
      <sheetName val="faktor_&amp;_disc"/>
      <sheetName val="CF_Rp-USD"/>
      <sheetName val="PDS_U-1400"/>
      <sheetName val="Eng_Hrs_(HO)"/>
      <sheetName val="Cable_Schedule_(2)"/>
      <sheetName val="ME_DOSEN"/>
      <sheetName val="Anal"/>
      <sheetName val="RAB-NEGO"/>
      <sheetName val="Harsat Upah"/>
      <sheetName val="HB"/>
      <sheetName val="REN2000"/>
      <sheetName val="PR"/>
      <sheetName val="Rekapsub-total-ME"/>
      <sheetName val="rate"/>
      <sheetName val="RT13526 CPI"/>
      <sheetName val="HARGA-UPAH"/>
      <sheetName val="011C101"/>
      <sheetName val="TPI"/>
      <sheetName val="산근"/>
      <sheetName val="JE-2"/>
      <sheetName val="BILL"/>
      <sheetName val="DDL"/>
      <sheetName val="WIP"/>
      <sheetName val="H-Bahan &amp; Tenaga"/>
      <sheetName val="F.1 1.G.ST.1A"/>
      <sheetName val="Man Power"/>
      <sheetName val="1. BQ"/>
      <sheetName val="Calc"/>
      <sheetName val="DON GIA"/>
      <sheetName val="TABEL LABOR"/>
      <sheetName val="DIV7-BM"/>
      <sheetName val="RAB STR KARIMUN"/>
      <sheetName val="PEMBESIAN BALOK tukang (2)"/>
      <sheetName val="Profil"/>
      <sheetName val="Peralatan"/>
      <sheetName val="Schedule"/>
      <sheetName val="HSATUAN"/>
      <sheetName val="DAFT_ALAT,UPAH &amp; MAT"/>
      <sheetName val="Analisa Upah &amp; Bahan Plum"/>
      <sheetName val="hsp_STR_ARS"/>
      <sheetName val="daf-3(OK)"/>
      <sheetName val="daf-7(OK)"/>
      <sheetName val="Pag_hal"/>
      <sheetName val="Construction"/>
      <sheetName val="Halaman Muka"/>
      <sheetName val="Analisa Harga Satuan"/>
      <sheetName val="PORTO"/>
      <sheetName val="sni"/>
      <sheetName val="BULAN"/>
      <sheetName val="COST"/>
      <sheetName val="Skedjul Rev"/>
      <sheetName val="D HARGA"/>
      <sheetName val="RekapLEP"/>
      <sheetName val="Monitor"/>
      <sheetName val="AnAlat"/>
      <sheetName val="DaftarHarga"/>
      <sheetName val="UPAH&amp;BHN"/>
      <sheetName val="Daftar Upah,Bhn,&amp; alat"/>
      <sheetName val="Param"/>
      <sheetName val="igp-03"/>
      <sheetName val="idx-03"/>
      <sheetName val="Ass_Planting"/>
      <sheetName val="H-Dasar"/>
      <sheetName val="HS-2"/>
      <sheetName val="SDMTA"/>
      <sheetName val="Unit Rate"/>
      <sheetName val="COV"/>
      <sheetName val="DATA 2"/>
      <sheetName val="tr-28202"/>
      <sheetName val="bbt-1999"/>
      <sheetName val="ABSEN"/>
      <sheetName val="UPAH_B_KAS"/>
      <sheetName val="UPAH_B_KAS _2_"/>
      <sheetName val="T_TANGAN"/>
      <sheetName val="SPT TAHUNAN"/>
      <sheetName val="Rinc_Setoran Astek"/>
      <sheetName val="DPLK_PST"/>
      <sheetName val="jkk_takaful"/>
      <sheetName val="Utilitas Plant"/>
      <sheetName val="URUTAN PLANT"/>
      <sheetName val="HRPar"/>
      <sheetName val="EXTERNAL  (revisi 1)"/>
      <sheetName val="HS1b"/>
      <sheetName val="RinciBab1_Seksi1"/>
      <sheetName val="grail"/>
      <sheetName val="Bab10"/>
      <sheetName val="RinciBab1"/>
      <sheetName val="Stressing bed"/>
      <sheetName val="DASH"/>
      <sheetName val="tp 45x45 (6)"/>
      <sheetName val="GIRDER 2"/>
      <sheetName val="REKAP READYMIX"/>
      <sheetName val="analis"/>
      <sheetName val="TblPajak"/>
      <sheetName val="trf multiple"/>
      <sheetName val="trfakt sgl"/>
      <sheetName val="RKP-2"/>
      <sheetName val="uu13"/>
      <sheetName val="Hrg Satuan &amp; Upah"/>
      <sheetName val="JAD-PEL"/>
      <sheetName val="APP-STR-MALL"/>
      <sheetName val="vol_P31Ki"/>
      <sheetName val="Galian batu"/>
      <sheetName val="oracle"/>
      <sheetName val="61005"/>
      <sheetName val="61006"/>
      <sheetName val="input data umum"/>
      <sheetName val="Rupiah"/>
      <sheetName val="FORM X COST"/>
      <sheetName val="029Cikeas00"/>
      <sheetName val="Input Data"/>
      <sheetName val="HPP_19_"/>
      <sheetName val="est proy"/>
      <sheetName val="311208"/>
      <sheetName val="Top"/>
      <sheetName val="BQ-Str"/>
      <sheetName val="Summary"/>
      <sheetName val="영업소실적"/>
      <sheetName val="Spec1"/>
      <sheetName val="Koefisien"/>
      <sheetName val="PEF25_0I_mnhr"/>
      <sheetName val="anal.P"/>
      <sheetName val="Jurnal"/>
      <sheetName val="Satuan Dasar"/>
      <sheetName val="AC"/>
      <sheetName val="tarip"/>
      <sheetName val="Agg Halus &amp; Kasar"/>
      <sheetName val="Anls&amp;D.Harga"/>
      <sheetName val="APRON_TAHAP_I2"/>
      <sheetName val="AnalisaSIPIL_RIIL2"/>
      <sheetName val="Perm__Test1"/>
      <sheetName val="BOQ_SNJ_11"/>
      <sheetName val="Kuantitas_&amp;_Harga1"/>
      <sheetName val="H_DASAR1"/>
      <sheetName val="RAP_KLAKAH_NEW1"/>
      <sheetName val="Anl_+"/>
      <sheetName val="1_1_ALAT_TULIS_KANTOR1"/>
      <sheetName val="Sumber_Daya1"/>
      <sheetName val="bahan_dan_upah1"/>
      <sheetName val="Bab_6_-3(5)1"/>
      <sheetName val="2_3(2)_Gor1"/>
      <sheetName val="8_4_2_Rambu1"/>
      <sheetName val="Daft_2_11"/>
      <sheetName val="Supl_X1"/>
      <sheetName val="Price_Biaya_Cadangan1"/>
      <sheetName val="BQ_Rekapitulasi__Akhir1"/>
      <sheetName val="MAP_1-21"/>
      <sheetName val="MINGGU_B_14-171"/>
      <sheetName val="MINGGU_A_14-171"/>
      <sheetName val="MINGGU_F_14-171"/>
      <sheetName val="REKAP_Prbndingn1"/>
      <sheetName val="Daftar_Upah"/>
      <sheetName val="BU_1"/>
      <sheetName val="Analisa_Teknik1"/>
      <sheetName val="Analisa_Teknik31"/>
      <sheetName val="Analisa_Teknik41"/>
      <sheetName val="Faktor_Efisiensi1"/>
      <sheetName val="HARSAT-lain_DC1"/>
      <sheetName val="LC-Kebun_Jeruk1"/>
      <sheetName val="LC-Bekas_Tebang1"/>
      <sheetName val="LC-SEMAK_BELUKAR_BERAT1"/>
      <sheetName val="LC-SEMAK_Belukar_Ringan1"/>
      <sheetName val="LC-Alang2_Pd_Rumput1"/>
      <sheetName val="Analisa_Teknik_lain1"/>
      <sheetName val="Analisa_Teknik4_(2)1"/>
      <sheetName val="1_2"/>
      <sheetName val="rab_lt_2_bo1"/>
      <sheetName val="7_공정표1"/>
      <sheetName val="Control_Document1"/>
      <sheetName val="_갑지1"/>
      <sheetName val="Stay_Cable_PDMR2"/>
      <sheetName val="5_1-5_4(1)-5_4(2)1"/>
      <sheetName val="1_B1"/>
      <sheetName val="RAB_FULL1"/>
      <sheetName val="Rincian_"/>
      <sheetName val="Price_"/>
      <sheetName val="HB_me"/>
      <sheetName val="Ex_Rate&amp;I_Input_Data"/>
      <sheetName val="DIV_9"/>
      <sheetName val="HARGA_DASAR"/>
      <sheetName val="Schedule_11a"/>
      <sheetName val="Septick_tank"/>
      <sheetName val="Rekap_Direct_Cost"/>
      <sheetName val="Rekap_RAP_real_(2)"/>
      <sheetName val="Penyusutan_Kendaraan"/>
      <sheetName val="ANLS_"/>
      <sheetName val="konci"/>
      <sheetName val="IEC 364-5-523 &amp; Cable Data"/>
      <sheetName val="Eff + Cos Phi"/>
      <sheetName val="Bq Ars"/>
      <sheetName val="URUTAN BUKA"/>
      <sheetName val="upah_borong"/>
      <sheetName val="Upah&amp; Bahan"/>
      <sheetName val="4-Basic Price"/>
      <sheetName val="RAB ME"/>
      <sheetName val="5-Peralatan"/>
      <sheetName val="U,B"/>
      <sheetName val="SCH"/>
    </sheetNames>
    <sheetDataSet>
      <sheetData sheetId="0">
        <row r="155">
          <cell r="B155" t="str">
            <v>Bahan</v>
          </cell>
        </row>
      </sheetData>
      <sheetData sheetId="1">
        <row r="69">
          <cell r="E69" t="str">
            <v>Biaya Lahan utk Pembuangan</v>
          </cell>
        </row>
      </sheetData>
      <sheetData sheetId="2">
        <row r="69">
          <cell r="E69" t="str">
            <v>Biaya Lahan utk Pembuangan</v>
          </cell>
        </row>
      </sheetData>
      <sheetData sheetId="3">
        <row r="69">
          <cell r="E69" t="str">
            <v>Biaya Lahan utk Pembuangan</v>
          </cell>
        </row>
      </sheetData>
      <sheetData sheetId="4">
        <row r="69">
          <cell r="E69" t="str">
            <v>Biaya Lahan utk Pembuangan</v>
          </cell>
        </row>
      </sheetData>
      <sheetData sheetId="5">
        <row r="69">
          <cell r="E69" t="str">
            <v>Biaya Lahan utk Pembuangan</v>
          </cell>
        </row>
      </sheetData>
      <sheetData sheetId="6">
        <row r="69">
          <cell r="E69" t="str">
            <v>Biaya Lahan utk Pembuangan</v>
          </cell>
        </row>
      </sheetData>
      <sheetData sheetId="7">
        <row r="69">
          <cell r="E69" t="str">
            <v>Biaya Lahan utk Pembuangan</v>
          </cell>
        </row>
      </sheetData>
      <sheetData sheetId="8">
        <row r="155">
          <cell r="B155" t="str">
            <v>Bahan</v>
          </cell>
        </row>
      </sheetData>
      <sheetData sheetId="9">
        <row r="155">
          <cell r="B155" t="str">
            <v>Bahan</v>
          </cell>
        </row>
      </sheetData>
      <sheetData sheetId="10">
        <row r="155">
          <cell r="B155" t="str">
            <v>Bahan</v>
          </cell>
        </row>
      </sheetData>
      <sheetData sheetId="11" refreshError="1">
        <row r="155">
          <cell r="B155" t="str">
            <v>Bahan</v>
          </cell>
        </row>
        <row r="3144">
          <cell r="C3144" t="str">
            <v>Paku Kancing 60x230</v>
          </cell>
          <cell r="G3144">
            <v>0</v>
          </cell>
        </row>
        <row r="3145">
          <cell r="B3145" t="str">
            <v xml:space="preserve">Tenaga </v>
          </cell>
          <cell r="G3145">
            <v>0</v>
          </cell>
        </row>
        <row r="3146">
          <cell r="C3146" t="str">
            <v>Pekerja</v>
          </cell>
          <cell r="E3146" t="str">
            <v xml:space="preserve">Oh </v>
          </cell>
          <cell r="G3146">
            <v>0</v>
          </cell>
        </row>
        <row r="3147">
          <cell r="C3147" t="str">
            <v xml:space="preserve">Tukang Batu </v>
          </cell>
          <cell r="D3147">
            <v>0.56999999999999995</v>
          </cell>
          <cell r="E3147" t="str">
            <v xml:space="preserve"> Oh </v>
          </cell>
          <cell r="G3147">
            <v>0</v>
          </cell>
        </row>
        <row r="3148">
          <cell r="C3148" t="str">
            <v>Kep. Tukang Batu</v>
          </cell>
          <cell r="D3148">
            <v>0.12</v>
          </cell>
          <cell r="E3148" t="str">
            <v xml:space="preserve"> Oh </v>
          </cell>
          <cell r="G3148">
            <v>0</v>
          </cell>
        </row>
        <row r="3149">
          <cell r="C3149" t="str">
            <v>Mandor</v>
          </cell>
          <cell r="E3149" t="str">
            <v xml:space="preserve"> Oh </v>
          </cell>
          <cell r="G3149">
            <v>0</v>
          </cell>
        </row>
        <row r="3150">
          <cell r="D3150">
            <v>0.14000000000000001</v>
          </cell>
          <cell r="G3150">
            <v>0</v>
          </cell>
        </row>
        <row r="3151">
          <cell r="B3151" t="str">
            <v>1 M2 Pas. Bubung Stel Gel ( 0.92 m )</v>
          </cell>
          <cell r="D3151">
            <v>6.7000000000000004E-2</v>
          </cell>
          <cell r="G3151">
            <v>0</v>
          </cell>
        </row>
        <row r="3152">
          <cell r="B3152" t="str">
            <v xml:space="preserve">Bahan </v>
          </cell>
          <cell r="D3152">
            <v>7.0000000000000001E-3</v>
          </cell>
          <cell r="G3152">
            <v>0</v>
          </cell>
        </row>
        <row r="3153">
          <cell r="C3153" t="str">
            <v xml:space="preserve">Bubung Stel Gelombang </v>
          </cell>
          <cell r="D3153">
            <v>7.0000000000000001E-3</v>
          </cell>
          <cell r="G3153">
            <v>0</v>
          </cell>
        </row>
        <row r="3154">
          <cell r="C3154" t="str">
            <v>Paku Sekerup 3,5"</v>
          </cell>
          <cell r="G3154">
            <v>0</v>
          </cell>
        </row>
        <row r="3155">
          <cell r="B3155" t="str">
            <v xml:space="preserve">Tenaga </v>
          </cell>
          <cell r="G3155">
            <v>0</v>
          </cell>
        </row>
        <row r="3156">
          <cell r="C3156" t="str">
            <v>Pekerja</v>
          </cell>
          <cell r="E3156" t="str">
            <v xml:space="preserve">Oh </v>
          </cell>
          <cell r="G3156">
            <v>0</v>
          </cell>
        </row>
        <row r="3157">
          <cell r="C3157" t="str">
            <v>Tukang Kayu</v>
          </cell>
          <cell r="D3157">
            <v>2.4</v>
          </cell>
          <cell r="E3157" t="str">
            <v xml:space="preserve"> Oh </v>
          </cell>
          <cell r="G3157">
            <v>0</v>
          </cell>
        </row>
        <row r="3158">
          <cell r="C3158" t="str">
            <v>Kep. Tukang Kayu</v>
          </cell>
          <cell r="D3158">
            <v>6</v>
          </cell>
          <cell r="E3158" t="str">
            <v xml:space="preserve"> Oh </v>
          </cell>
          <cell r="G3158">
            <v>0</v>
          </cell>
        </row>
        <row r="3159">
          <cell r="C3159" t="str">
            <v>Mandor</v>
          </cell>
          <cell r="E3159" t="str">
            <v xml:space="preserve"> Oh </v>
          </cell>
          <cell r="G3159">
            <v>0</v>
          </cell>
        </row>
        <row r="3160">
          <cell r="D3160">
            <v>8.4000000000000005E-2</v>
          </cell>
          <cell r="G3160">
            <v>0</v>
          </cell>
        </row>
        <row r="3161">
          <cell r="B3161" t="str">
            <v>1 M2 Pas. Nok Stel Gelombang ( 1.05 m )</v>
          </cell>
          <cell r="D3161">
            <v>0.125</v>
          </cell>
          <cell r="G3161">
            <v>0</v>
          </cell>
        </row>
        <row r="3162">
          <cell r="B3162" t="str">
            <v xml:space="preserve">Bahan </v>
          </cell>
          <cell r="D3162">
            <v>1.2999999999999999E-2</v>
          </cell>
          <cell r="G3162">
            <v>0</v>
          </cell>
        </row>
        <row r="3163">
          <cell r="C3163" t="str">
            <v xml:space="preserve">Nok Stel Gelombang </v>
          </cell>
          <cell r="D3163">
            <v>4.0000000000000001E-3</v>
          </cell>
          <cell r="G3163">
            <v>0</v>
          </cell>
        </row>
        <row r="3164">
          <cell r="C3164" t="str">
            <v>Paku Sekerup 3,5"</v>
          </cell>
          <cell r="G3164">
            <v>0</v>
          </cell>
        </row>
        <row r="3165">
          <cell r="B3165" t="str">
            <v xml:space="preserve">Tenaga </v>
          </cell>
          <cell r="G3165">
            <v>0</v>
          </cell>
        </row>
        <row r="3166">
          <cell r="C3166" t="str">
            <v>Pekerja</v>
          </cell>
          <cell r="E3166" t="str">
            <v xml:space="preserve">Oh </v>
          </cell>
          <cell r="G3166">
            <v>0</v>
          </cell>
        </row>
        <row r="3167">
          <cell r="C3167" t="str">
            <v>Tukang Kayu</v>
          </cell>
          <cell r="D3167">
            <v>2.1</v>
          </cell>
          <cell r="E3167" t="str">
            <v xml:space="preserve"> Oh </v>
          </cell>
          <cell r="G3167">
            <v>0</v>
          </cell>
        </row>
        <row r="3168">
          <cell r="C3168" t="str">
            <v>Kep. Tukang Kayu</v>
          </cell>
          <cell r="D3168">
            <v>6</v>
          </cell>
          <cell r="E3168" t="str">
            <v xml:space="preserve"> Oh </v>
          </cell>
          <cell r="G3168">
            <v>0</v>
          </cell>
        </row>
        <row r="3169">
          <cell r="C3169" t="str">
            <v>Mandor</v>
          </cell>
          <cell r="E3169" t="str">
            <v xml:space="preserve"> Oh </v>
          </cell>
          <cell r="G3169">
            <v>0</v>
          </cell>
        </row>
        <row r="3170">
          <cell r="D3170">
            <v>8.4000000000000005E-2</v>
          </cell>
          <cell r="G3170">
            <v>0</v>
          </cell>
        </row>
        <row r="3171">
          <cell r="B3171" t="str">
            <v>1 M2 Pas. Nok Stel Gelombang ( 1.08 m )</v>
          </cell>
          <cell r="D3171">
            <v>0.125</v>
          </cell>
          <cell r="G3171">
            <v>0</v>
          </cell>
        </row>
        <row r="3172">
          <cell r="D3172">
            <v>1.2999999999999999E-2</v>
          </cell>
          <cell r="G3172">
            <v>0</v>
          </cell>
        </row>
        <row r="3173">
          <cell r="B3173" t="str">
            <v xml:space="preserve">Bahan </v>
          </cell>
          <cell r="D3173">
            <v>4.0000000000000001E-3</v>
          </cell>
          <cell r="G3173">
            <v>0</v>
          </cell>
        </row>
        <row r="3174">
          <cell r="C3174" t="str">
            <v xml:space="preserve">Nok Stel Gelombang </v>
          </cell>
          <cell r="E3174" t="str">
            <v>lbr</v>
          </cell>
          <cell r="G3174">
            <v>0</v>
          </cell>
        </row>
        <row r="3175">
          <cell r="C3175" t="str">
            <v>Paku Sekerup 3,5"</v>
          </cell>
          <cell r="E3175" t="str">
            <v>bh</v>
          </cell>
          <cell r="G3175">
            <v>0</v>
          </cell>
        </row>
        <row r="3176">
          <cell r="B3176" t="str">
            <v xml:space="preserve">Tenaga </v>
          </cell>
          <cell r="G3176">
            <v>0</v>
          </cell>
        </row>
        <row r="3177">
          <cell r="C3177" t="str">
            <v>Pekerja</v>
          </cell>
          <cell r="E3177" t="str">
            <v xml:space="preserve">Oh </v>
          </cell>
          <cell r="G3177">
            <v>0</v>
          </cell>
        </row>
        <row r="3178">
          <cell r="C3178" t="str">
            <v>Tukang Kayu</v>
          </cell>
          <cell r="D3178">
            <v>2.0499999999999998</v>
          </cell>
          <cell r="E3178" t="str">
            <v xml:space="preserve"> Oh </v>
          </cell>
          <cell r="G3178">
            <v>0</v>
          </cell>
        </row>
        <row r="3179">
          <cell r="C3179" t="str">
            <v>Kep. Tukang Kayu</v>
          </cell>
          <cell r="D3179">
            <v>6</v>
          </cell>
          <cell r="E3179" t="str">
            <v xml:space="preserve"> Oh </v>
          </cell>
          <cell r="G3179">
            <v>0</v>
          </cell>
        </row>
        <row r="3180">
          <cell r="C3180" t="str">
            <v>Mandor</v>
          </cell>
          <cell r="E3180" t="str">
            <v xml:space="preserve"> Oh </v>
          </cell>
          <cell r="G3180">
            <v>0</v>
          </cell>
        </row>
        <row r="3181">
          <cell r="D3181">
            <v>8.4000000000000005E-2</v>
          </cell>
          <cell r="G3181">
            <v>0</v>
          </cell>
        </row>
        <row r="3182">
          <cell r="B3182" t="str">
            <v>1 M2 Pas. Nok Paten ( 0.92 m' )</v>
          </cell>
          <cell r="D3182">
            <v>0.125</v>
          </cell>
          <cell r="G3182">
            <v>0</v>
          </cell>
        </row>
        <row r="3183">
          <cell r="B3183" t="str">
            <v xml:space="preserve">Bahan </v>
          </cell>
          <cell r="D3183">
            <v>1.2999999999999999E-2</v>
          </cell>
          <cell r="G3183">
            <v>0</v>
          </cell>
        </row>
        <row r="3184">
          <cell r="C3184" t="str">
            <v>Nok Paten</v>
          </cell>
          <cell r="D3184">
            <v>4.0000000000000001E-3</v>
          </cell>
          <cell r="E3184" t="str">
            <v>lbr</v>
          </cell>
          <cell r="G3184">
            <v>0</v>
          </cell>
        </row>
        <row r="3185">
          <cell r="C3185" t="str">
            <v>Paku Sekerup 3,5"</v>
          </cell>
          <cell r="E3185" t="str">
            <v>bh</v>
          </cell>
          <cell r="G3185">
            <v>0</v>
          </cell>
        </row>
        <row r="3186">
          <cell r="B3186" t="str">
            <v xml:space="preserve">Tenaga </v>
          </cell>
          <cell r="G3186">
            <v>0</v>
          </cell>
        </row>
        <row r="3187">
          <cell r="C3187" t="str">
            <v>Pekerja</v>
          </cell>
          <cell r="E3187" t="str">
            <v xml:space="preserve">Oh </v>
          </cell>
          <cell r="G3187">
            <v>0</v>
          </cell>
        </row>
        <row r="3188">
          <cell r="C3188" t="str">
            <v>Tukang Kayu</v>
          </cell>
          <cell r="D3188">
            <v>2.4</v>
          </cell>
          <cell r="E3188" t="str">
            <v xml:space="preserve"> Oh </v>
          </cell>
          <cell r="G3188">
            <v>0</v>
          </cell>
        </row>
        <row r="3189">
          <cell r="C3189" t="str">
            <v>Kep. Tukang Kayu</v>
          </cell>
          <cell r="D3189">
            <v>6</v>
          </cell>
          <cell r="E3189" t="str">
            <v xml:space="preserve"> Oh </v>
          </cell>
          <cell r="G3189">
            <v>0</v>
          </cell>
        </row>
        <row r="3190">
          <cell r="C3190" t="str">
            <v>Mandor</v>
          </cell>
          <cell r="E3190" t="str">
            <v xml:space="preserve"> Oh </v>
          </cell>
          <cell r="G3190">
            <v>0</v>
          </cell>
        </row>
        <row r="3191">
          <cell r="D3191">
            <v>8.4000000000000005E-2</v>
          </cell>
          <cell r="G3191">
            <v>0</v>
          </cell>
        </row>
        <row r="3192">
          <cell r="B3192" t="str">
            <v>1 M2 Pas. Nok Paten ( 1.05 m' )</v>
          </cell>
          <cell r="D3192">
            <v>0.125</v>
          </cell>
          <cell r="G3192">
            <v>0</v>
          </cell>
        </row>
        <row r="3193">
          <cell r="B3193" t="str">
            <v xml:space="preserve">Bahan </v>
          </cell>
          <cell r="D3193">
            <v>1.2999999999999999E-2</v>
          </cell>
          <cell r="G3193">
            <v>0</v>
          </cell>
        </row>
        <row r="3194">
          <cell r="C3194" t="str">
            <v>Nok Paten</v>
          </cell>
          <cell r="D3194">
            <v>4.0000000000000001E-3</v>
          </cell>
          <cell r="E3194" t="str">
            <v>lbr</v>
          </cell>
          <cell r="G3194">
            <v>0</v>
          </cell>
        </row>
        <row r="3195">
          <cell r="C3195" t="str">
            <v>Paku Sekerup 3,5"</v>
          </cell>
          <cell r="E3195" t="str">
            <v>bh</v>
          </cell>
          <cell r="G3195">
            <v>0</v>
          </cell>
        </row>
        <row r="3196">
          <cell r="B3196" t="str">
            <v xml:space="preserve">Tenaga </v>
          </cell>
          <cell r="G3196">
            <v>0</v>
          </cell>
        </row>
        <row r="3197">
          <cell r="C3197" t="str">
            <v>Pekerja</v>
          </cell>
          <cell r="E3197" t="str">
            <v xml:space="preserve">Oh </v>
          </cell>
          <cell r="G3197">
            <v>0</v>
          </cell>
        </row>
        <row r="3198">
          <cell r="C3198" t="str">
            <v>Tukang Kayu</v>
          </cell>
          <cell r="D3198">
            <v>1.2</v>
          </cell>
          <cell r="E3198" t="str">
            <v xml:space="preserve"> Oh </v>
          </cell>
          <cell r="G3198">
            <v>0</v>
          </cell>
        </row>
        <row r="3199">
          <cell r="C3199" t="str">
            <v>Kep. Tukang Kayu</v>
          </cell>
          <cell r="D3199">
            <v>6</v>
          </cell>
          <cell r="E3199" t="str">
            <v xml:space="preserve"> Oh </v>
          </cell>
          <cell r="G3199">
            <v>0</v>
          </cell>
        </row>
        <row r="3200">
          <cell r="C3200" t="str">
            <v>Mandor</v>
          </cell>
          <cell r="E3200" t="str">
            <v xml:space="preserve"> Oh </v>
          </cell>
          <cell r="G3200">
            <v>0</v>
          </cell>
        </row>
        <row r="3201">
          <cell r="D3201">
            <v>8.4000000000000005E-2</v>
          </cell>
          <cell r="G3201">
            <v>0</v>
          </cell>
        </row>
        <row r="3202">
          <cell r="B3202" t="str">
            <v>1 M2 Pas. Nok Stel Rata ( 0.92 m )</v>
          </cell>
          <cell r="D3202">
            <v>0.125</v>
          </cell>
          <cell r="G3202">
            <v>0</v>
          </cell>
        </row>
        <row r="3203">
          <cell r="B3203" t="str">
            <v xml:space="preserve">Bahan </v>
          </cell>
          <cell r="D3203">
            <v>1.2999999999999999E-2</v>
          </cell>
          <cell r="G3203">
            <v>0</v>
          </cell>
        </row>
        <row r="3204">
          <cell r="C3204" t="str">
            <v>Nok Stel rata</v>
          </cell>
          <cell r="D3204">
            <v>4.0000000000000001E-3</v>
          </cell>
          <cell r="E3204" t="str">
            <v>lbr</v>
          </cell>
          <cell r="G3204">
            <v>0</v>
          </cell>
        </row>
        <row r="3205">
          <cell r="C3205" t="str">
            <v>Paku Sekerup 3,5"</v>
          </cell>
          <cell r="E3205" t="str">
            <v>bh</v>
          </cell>
          <cell r="G3205">
            <v>0</v>
          </cell>
        </row>
        <row r="3206">
          <cell r="B3206" t="str">
            <v xml:space="preserve">Tenaga </v>
          </cell>
          <cell r="G3206">
            <v>0</v>
          </cell>
        </row>
        <row r="3207">
          <cell r="C3207" t="str">
            <v>Pekerja</v>
          </cell>
          <cell r="E3207" t="str">
            <v xml:space="preserve">Oh </v>
          </cell>
          <cell r="G3207">
            <v>0</v>
          </cell>
        </row>
        <row r="3208">
          <cell r="C3208" t="str">
            <v>Tukang Kayu</v>
          </cell>
          <cell r="D3208">
            <v>1.1000000000000001</v>
          </cell>
          <cell r="E3208" t="str">
            <v xml:space="preserve"> Oh </v>
          </cell>
          <cell r="G3208">
            <v>0</v>
          </cell>
        </row>
        <row r="3209">
          <cell r="C3209" t="str">
            <v>Kep. Tukang Kayu</v>
          </cell>
          <cell r="D3209">
            <v>6</v>
          </cell>
          <cell r="E3209" t="str">
            <v xml:space="preserve"> Oh </v>
          </cell>
          <cell r="G3209">
            <v>0</v>
          </cell>
        </row>
        <row r="3210">
          <cell r="C3210" t="str">
            <v>Mandor</v>
          </cell>
          <cell r="E3210" t="str">
            <v xml:space="preserve"> Oh </v>
          </cell>
          <cell r="G3210">
            <v>0</v>
          </cell>
        </row>
        <row r="3211">
          <cell r="D3211">
            <v>8.4000000000000005E-2</v>
          </cell>
          <cell r="G3211">
            <v>0</v>
          </cell>
        </row>
        <row r="3212">
          <cell r="B3212" t="str">
            <v>1 M2 Pas. Nok Stel Rata ( 1.05 m )</v>
          </cell>
          <cell r="D3212">
            <v>0.125</v>
          </cell>
          <cell r="G3212">
            <v>0</v>
          </cell>
        </row>
        <row r="3213">
          <cell r="B3213" t="str">
            <v xml:space="preserve">Bahan </v>
          </cell>
          <cell r="D3213">
            <v>1.2999999999999999E-2</v>
          </cell>
          <cell r="G3213">
            <v>0</v>
          </cell>
        </row>
        <row r="3214">
          <cell r="C3214" t="str">
            <v>Nok Stel rata</v>
          </cell>
          <cell r="D3214">
            <v>4.0000000000000001E-3</v>
          </cell>
          <cell r="E3214" t="str">
            <v>lbr</v>
          </cell>
          <cell r="G3214">
            <v>0</v>
          </cell>
        </row>
        <row r="3215">
          <cell r="C3215" t="str">
            <v>Paku Sekerup 3,5"</v>
          </cell>
          <cell r="E3215" t="str">
            <v>bh</v>
          </cell>
          <cell r="G3215">
            <v>0</v>
          </cell>
        </row>
        <row r="3216">
          <cell r="B3216" t="str">
            <v xml:space="preserve">Tenaga </v>
          </cell>
          <cell r="G3216">
            <v>0</v>
          </cell>
        </row>
        <row r="3217">
          <cell r="C3217" t="str">
            <v>Pekerja</v>
          </cell>
          <cell r="E3217" t="str">
            <v xml:space="preserve">Oh </v>
          </cell>
          <cell r="G3217">
            <v>0</v>
          </cell>
        </row>
        <row r="3218">
          <cell r="C3218" t="str">
            <v>Tukang Kayu</v>
          </cell>
          <cell r="D3218">
            <v>1.1000000000000001</v>
          </cell>
          <cell r="E3218" t="str">
            <v xml:space="preserve"> Oh </v>
          </cell>
          <cell r="G3218">
            <v>0</v>
          </cell>
        </row>
        <row r="3219">
          <cell r="C3219" t="str">
            <v>Kep. Tukang Kayu</v>
          </cell>
          <cell r="D3219">
            <v>6</v>
          </cell>
          <cell r="E3219" t="str">
            <v xml:space="preserve"> Oh </v>
          </cell>
          <cell r="G3219">
            <v>0</v>
          </cell>
        </row>
        <row r="3220">
          <cell r="C3220" t="str">
            <v>Mandor</v>
          </cell>
          <cell r="E3220" t="str">
            <v xml:space="preserve"> Oh </v>
          </cell>
          <cell r="G3220">
            <v>0</v>
          </cell>
        </row>
        <row r="3221">
          <cell r="D3221">
            <v>8.4000000000000005E-2</v>
          </cell>
          <cell r="G3221">
            <v>0</v>
          </cell>
        </row>
        <row r="3222">
          <cell r="B3222" t="str">
            <v>1 M2 Pas.atap Genteng Beton</v>
          </cell>
          <cell r="D3222">
            <v>0.125</v>
          </cell>
          <cell r="G3222">
            <v>0</v>
          </cell>
        </row>
        <row r="3223">
          <cell r="B3223" t="str">
            <v xml:space="preserve">Bahan </v>
          </cell>
          <cell r="D3223">
            <v>1.2999999999999999E-2</v>
          </cell>
          <cell r="G3223">
            <v>0</v>
          </cell>
        </row>
        <row r="3224">
          <cell r="C3224" t="str">
            <v>Genteng Beton</v>
          </cell>
          <cell r="D3224">
            <v>4.0000000000000001E-3</v>
          </cell>
          <cell r="E3224" t="str">
            <v>lbr</v>
          </cell>
          <cell r="G3224">
            <v>0</v>
          </cell>
        </row>
        <row r="3225">
          <cell r="C3225" t="str">
            <v>Paku 2"-5"</v>
          </cell>
          <cell r="E3225" t="str">
            <v>kg</v>
          </cell>
          <cell r="G3225">
            <v>0</v>
          </cell>
        </row>
        <row r="3226">
          <cell r="B3226" t="str">
            <v xml:space="preserve">Tenaga </v>
          </cell>
          <cell r="G3226">
            <v>0</v>
          </cell>
        </row>
        <row r="3227">
          <cell r="C3227" t="str">
            <v>Pekerja</v>
          </cell>
          <cell r="E3227" t="str">
            <v xml:space="preserve">Oh </v>
          </cell>
          <cell r="G3227">
            <v>0</v>
          </cell>
        </row>
        <row r="3228">
          <cell r="C3228" t="str">
            <v>Tukang Kayu</v>
          </cell>
          <cell r="D3228">
            <v>11</v>
          </cell>
          <cell r="E3228" t="str">
            <v xml:space="preserve"> Oh </v>
          </cell>
          <cell r="G3228">
            <v>0</v>
          </cell>
        </row>
        <row r="3229">
          <cell r="C3229" t="str">
            <v>Kep. Tukang Kayu</v>
          </cell>
          <cell r="D3229">
            <v>0.03</v>
          </cell>
          <cell r="E3229" t="str">
            <v xml:space="preserve"> Oh </v>
          </cell>
          <cell r="G3229">
            <v>0</v>
          </cell>
        </row>
        <row r="3230">
          <cell r="C3230" t="str">
            <v>Mandor</v>
          </cell>
          <cell r="E3230" t="str">
            <v xml:space="preserve"> Oh </v>
          </cell>
          <cell r="G3230">
            <v>0</v>
          </cell>
        </row>
        <row r="3231">
          <cell r="D3231">
            <v>0.2</v>
          </cell>
          <cell r="G3231">
            <v>0</v>
          </cell>
        </row>
        <row r="3232">
          <cell r="B3232" t="str">
            <v>1 M2 Pas.atap Genteng aspal</v>
          </cell>
          <cell r="D3232">
            <v>0.1</v>
          </cell>
          <cell r="G3232">
            <v>0</v>
          </cell>
        </row>
        <row r="3233">
          <cell r="B3233" t="str">
            <v xml:space="preserve">Bahan </v>
          </cell>
          <cell r="D3233">
            <v>0.01</v>
          </cell>
          <cell r="G3233">
            <v>0</v>
          </cell>
        </row>
        <row r="3234">
          <cell r="C3234" t="str">
            <v>Genteng Aspal</v>
          </cell>
          <cell r="D3234">
            <v>0.01</v>
          </cell>
          <cell r="E3234" t="str">
            <v>lbr</v>
          </cell>
          <cell r="G3234">
            <v>0</v>
          </cell>
        </row>
        <row r="3235">
          <cell r="C3235" t="str">
            <v>Plywood 4" X 8" X 6 mm</v>
          </cell>
          <cell r="E3235" t="str">
            <v>lbr</v>
          </cell>
          <cell r="G3235">
            <v>0</v>
          </cell>
        </row>
        <row r="3236">
          <cell r="C3236" t="str">
            <v>Paku biasa 1/2" - 1"</v>
          </cell>
          <cell r="E3236" t="str">
            <v>kg</v>
          </cell>
          <cell r="G3236">
            <v>0</v>
          </cell>
        </row>
        <row r="3237">
          <cell r="C3237" t="str">
            <v>Plastic aerator</v>
          </cell>
          <cell r="E3237" t="str">
            <v>bh</v>
          </cell>
          <cell r="G3237">
            <v>0</v>
          </cell>
        </row>
        <row r="3238">
          <cell r="D3238">
            <v>6.9</v>
          </cell>
          <cell r="G3238">
            <v>0</v>
          </cell>
        </row>
        <row r="3239">
          <cell r="B3239" t="str">
            <v xml:space="preserve">Tenaga </v>
          </cell>
          <cell r="D3239">
            <v>0.35</v>
          </cell>
          <cell r="G3239">
            <v>0</v>
          </cell>
        </row>
        <row r="3240">
          <cell r="C3240" t="str">
            <v>Pekerja</v>
          </cell>
          <cell r="D3240">
            <v>0.03</v>
          </cell>
          <cell r="E3240" t="str">
            <v xml:space="preserve">Oh </v>
          </cell>
          <cell r="G3240">
            <v>0</v>
          </cell>
        </row>
        <row r="3241">
          <cell r="C3241" t="str">
            <v>Tukang Kayu</v>
          </cell>
          <cell r="D3241">
            <v>0.5</v>
          </cell>
          <cell r="E3241" t="str">
            <v xml:space="preserve"> Oh </v>
          </cell>
          <cell r="G3241">
            <v>0</v>
          </cell>
        </row>
        <row r="3242">
          <cell r="C3242" t="str">
            <v>Kep. Tukang Kayu</v>
          </cell>
          <cell r="E3242" t="str">
            <v xml:space="preserve"> Oh </v>
          </cell>
          <cell r="G3242">
            <v>0</v>
          </cell>
        </row>
        <row r="3243">
          <cell r="C3243" t="str">
            <v>Mandor</v>
          </cell>
          <cell r="E3243" t="str">
            <v xml:space="preserve"> Oh </v>
          </cell>
          <cell r="G3243">
            <v>0</v>
          </cell>
        </row>
        <row r="3244">
          <cell r="D3244">
            <v>0.2</v>
          </cell>
          <cell r="G3244">
            <v>0</v>
          </cell>
        </row>
        <row r="3245">
          <cell r="B3245" t="str">
            <v>1 M2 Pas. Atap genteng metal</v>
          </cell>
          <cell r="D3245">
            <v>0.3</v>
          </cell>
          <cell r="G3245">
            <v>0</v>
          </cell>
        </row>
        <row r="3246">
          <cell r="B3246" t="str">
            <v xml:space="preserve">Bahan </v>
          </cell>
          <cell r="D3246">
            <v>3.0000000000000001E-3</v>
          </cell>
          <cell r="G3246">
            <v>0</v>
          </cell>
        </row>
        <row r="3247">
          <cell r="C3247" t="str">
            <v>Genteng metal</v>
          </cell>
          <cell r="D3247">
            <v>0.01</v>
          </cell>
          <cell r="E3247" t="str">
            <v>lbr</v>
          </cell>
          <cell r="G3247">
            <v>0</v>
          </cell>
        </row>
        <row r="3248">
          <cell r="C3248" t="str">
            <v>Paku biasa 2" - 5"</v>
          </cell>
          <cell r="E3248" t="str">
            <v>kg</v>
          </cell>
          <cell r="G3248">
            <v>0</v>
          </cell>
        </row>
        <row r="3249">
          <cell r="B3249" t="str">
            <v xml:space="preserve">Tenaga </v>
          </cell>
          <cell r="G3249">
            <v>0</v>
          </cell>
        </row>
        <row r="3250">
          <cell r="C3250" t="str">
            <v>Pekerja</v>
          </cell>
          <cell r="E3250" t="str">
            <v xml:space="preserve">Oh </v>
          </cell>
          <cell r="G3250">
            <v>0</v>
          </cell>
        </row>
        <row r="3251">
          <cell r="C3251" t="str">
            <v>Tukang Kayu</v>
          </cell>
          <cell r="D3251">
            <v>1.02</v>
          </cell>
          <cell r="E3251" t="str">
            <v xml:space="preserve"> Oh </v>
          </cell>
          <cell r="G3251">
            <v>0</v>
          </cell>
        </row>
        <row r="3252">
          <cell r="C3252" t="str">
            <v>Kep. Tukang Kayu</v>
          </cell>
          <cell r="D3252">
            <v>0.2</v>
          </cell>
          <cell r="E3252" t="str">
            <v xml:space="preserve"> Oh </v>
          </cell>
          <cell r="G3252">
            <v>0</v>
          </cell>
        </row>
        <row r="3253">
          <cell r="C3253" t="str">
            <v>Mandor</v>
          </cell>
          <cell r="E3253" t="str">
            <v xml:space="preserve"> Oh </v>
          </cell>
          <cell r="G3253">
            <v>0</v>
          </cell>
        </row>
        <row r="3254">
          <cell r="D3254">
            <v>0.2</v>
          </cell>
          <cell r="G3254">
            <v>0</v>
          </cell>
        </row>
        <row r="3255">
          <cell r="B3255" t="str">
            <v>1 M2 Pas. Atap sirap</v>
          </cell>
          <cell r="D3255">
            <v>0.1</v>
          </cell>
          <cell r="G3255">
            <v>0</v>
          </cell>
        </row>
        <row r="3256">
          <cell r="B3256" t="str">
            <v xml:space="preserve">Bahan </v>
          </cell>
          <cell r="D3256">
            <v>0.01</v>
          </cell>
          <cell r="G3256">
            <v>0</v>
          </cell>
        </row>
        <row r="3257">
          <cell r="C3257" t="str">
            <v>Genteng Sirap</v>
          </cell>
          <cell r="D3257">
            <v>0.01</v>
          </cell>
          <cell r="E3257" t="str">
            <v>bh</v>
          </cell>
          <cell r="G3257">
            <v>0</v>
          </cell>
        </row>
        <row r="3258">
          <cell r="C3258" t="str">
            <v>Paku biasa 1/2" - 1"</v>
          </cell>
          <cell r="E3258" t="str">
            <v>kg</v>
          </cell>
          <cell r="G3258">
            <v>0</v>
          </cell>
        </row>
        <row r="3259">
          <cell r="B3259" t="str">
            <v xml:space="preserve">Tenaga </v>
          </cell>
          <cell r="G3259">
            <v>0</v>
          </cell>
        </row>
        <row r="3260">
          <cell r="C3260" t="str">
            <v>Pekerja</v>
          </cell>
          <cell r="E3260" t="str">
            <v xml:space="preserve">Oh </v>
          </cell>
          <cell r="G3260">
            <v>0</v>
          </cell>
        </row>
        <row r="3261">
          <cell r="C3261" t="str">
            <v>Tukang Kayu</v>
          </cell>
          <cell r="D3261">
            <v>60</v>
          </cell>
          <cell r="E3261" t="str">
            <v xml:space="preserve"> Oh </v>
          </cell>
          <cell r="G3261">
            <v>0</v>
          </cell>
        </row>
        <row r="3262">
          <cell r="C3262" t="str">
            <v>Kep. Tukang Kayu</v>
          </cell>
          <cell r="D3262">
            <v>0.2</v>
          </cell>
          <cell r="E3262" t="str">
            <v xml:space="preserve"> Oh </v>
          </cell>
          <cell r="G3262">
            <v>0</v>
          </cell>
        </row>
        <row r="3263">
          <cell r="C3263" t="str">
            <v>Mandor</v>
          </cell>
          <cell r="E3263" t="str">
            <v xml:space="preserve"> Oh </v>
          </cell>
          <cell r="G3263">
            <v>0</v>
          </cell>
        </row>
        <row r="3264">
          <cell r="D3264">
            <v>0.16600000000000001</v>
          </cell>
          <cell r="G3264">
            <v>0</v>
          </cell>
        </row>
        <row r="3265">
          <cell r="B3265" t="str">
            <v>1 M2 Pas. Atap sirap</v>
          </cell>
          <cell r="D3265">
            <v>0.25</v>
          </cell>
          <cell r="G3265">
            <v>0</v>
          </cell>
        </row>
        <row r="3266">
          <cell r="B3266" t="str">
            <v xml:space="preserve">Bahan </v>
          </cell>
          <cell r="D3266">
            <v>2.5000000000000001E-2</v>
          </cell>
          <cell r="G3266">
            <v>0</v>
          </cell>
        </row>
        <row r="3267">
          <cell r="C3267" t="str">
            <v>Genteng Sirap</v>
          </cell>
          <cell r="D3267">
            <v>8.0000000000000002E-3</v>
          </cell>
          <cell r="E3267" t="str">
            <v>bh</v>
          </cell>
          <cell r="G3267">
            <v>0</v>
          </cell>
        </row>
        <row r="3268">
          <cell r="C3268" t="str">
            <v>Paku biasa 1/2" - 1"</v>
          </cell>
          <cell r="E3268" t="str">
            <v>kg</v>
          </cell>
          <cell r="G3268">
            <v>0</v>
          </cell>
        </row>
        <row r="3269">
          <cell r="B3269" t="str">
            <v xml:space="preserve">Tenaga </v>
          </cell>
          <cell r="G3269">
            <v>0</v>
          </cell>
        </row>
        <row r="3270">
          <cell r="C3270" t="str">
            <v>Pekerja</v>
          </cell>
          <cell r="E3270" t="str">
            <v xml:space="preserve">Oh </v>
          </cell>
          <cell r="G3270">
            <v>0</v>
          </cell>
        </row>
        <row r="3271">
          <cell r="C3271" t="str">
            <v>Tukang Kayu</v>
          </cell>
          <cell r="D3271">
            <v>60</v>
          </cell>
          <cell r="E3271" t="str">
            <v xml:space="preserve"> Oh </v>
          </cell>
          <cell r="G3271">
            <v>0</v>
          </cell>
        </row>
        <row r="3272">
          <cell r="C3272" t="str">
            <v>Kep. Tukang Kayu</v>
          </cell>
          <cell r="D3272">
            <v>0.2</v>
          </cell>
          <cell r="E3272" t="str">
            <v xml:space="preserve"> Oh </v>
          </cell>
          <cell r="G3272">
            <v>0</v>
          </cell>
        </row>
        <row r="3273">
          <cell r="C3273" t="str">
            <v>Mandor</v>
          </cell>
          <cell r="E3273" t="str">
            <v xml:space="preserve"> Oh </v>
          </cell>
          <cell r="G3273">
            <v>0</v>
          </cell>
        </row>
        <row r="3274">
          <cell r="D3274">
            <v>0.16600000000000001</v>
          </cell>
          <cell r="G3274">
            <v>0</v>
          </cell>
        </row>
        <row r="3275">
          <cell r="B3275" t="str">
            <v>1 M2 Pas. Nok genteng beton</v>
          </cell>
          <cell r="D3275">
            <v>0.25</v>
          </cell>
          <cell r="G3275">
            <v>0</v>
          </cell>
        </row>
        <row r="3276">
          <cell r="B3276" t="str">
            <v xml:space="preserve">Bahan </v>
          </cell>
          <cell r="D3276">
            <v>2.5000000000000001E-2</v>
          </cell>
          <cell r="G3276">
            <v>0</v>
          </cell>
        </row>
        <row r="3277">
          <cell r="C3277" t="str">
            <v>Nok Genteng Beton</v>
          </cell>
          <cell r="D3277">
            <v>8.0000000000000002E-3</v>
          </cell>
          <cell r="E3277" t="str">
            <v>bh</v>
          </cell>
          <cell r="G3277">
            <v>0</v>
          </cell>
        </row>
        <row r="3278">
          <cell r="C3278" t="str">
            <v>Paku biasa 2" X 5"</v>
          </cell>
          <cell r="E3278" t="str">
            <v>kg</v>
          </cell>
          <cell r="G3278">
            <v>0</v>
          </cell>
        </row>
        <row r="3279">
          <cell r="C3279" t="str">
            <v>Semen Abu-abu</v>
          </cell>
          <cell r="E3279" t="str">
            <v>kg</v>
          </cell>
          <cell r="G3279">
            <v>0</v>
          </cell>
        </row>
        <row r="3280">
          <cell r="C3280" t="str">
            <v>Pasir Pasang</v>
          </cell>
          <cell r="E3280" t="str">
            <v>m3</v>
          </cell>
          <cell r="G3280">
            <v>0</v>
          </cell>
        </row>
        <row r="3281">
          <cell r="C3281" t="str">
            <v>Semen Warna</v>
          </cell>
          <cell r="D3281">
            <v>3.5</v>
          </cell>
          <cell r="E3281" t="str">
            <v>kg</v>
          </cell>
          <cell r="G3281">
            <v>0</v>
          </cell>
        </row>
        <row r="3282">
          <cell r="D3282">
            <v>0.05</v>
          </cell>
          <cell r="G3282">
            <v>0</v>
          </cell>
        </row>
        <row r="3283">
          <cell r="B3283" t="str">
            <v xml:space="preserve">Tenaga </v>
          </cell>
          <cell r="D3283">
            <v>10.8</v>
          </cell>
          <cell r="G3283">
            <v>0</v>
          </cell>
        </row>
        <row r="3284">
          <cell r="C3284" t="str">
            <v>Pekerja</v>
          </cell>
          <cell r="D3284">
            <v>3.2000000000000001E-2</v>
          </cell>
          <cell r="E3284" t="str">
            <v xml:space="preserve">Oh </v>
          </cell>
          <cell r="G3284">
            <v>0</v>
          </cell>
        </row>
        <row r="3285">
          <cell r="C3285" t="str">
            <v>Tukang Kayu</v>
          </cell>
          <cell r="D3285">
            <v>1</v>
          </cell>
          <cell r="E3285" t="str">
            <v xml:space="preserve"> Oh </v>
          </cell>
          <cell r="G3285">
            <v>0</v>
          </cell>
        </row>
        <row r="3286">
          <cell r="C3286" t="str">
            <v>Kep. Tukang Kayu</v>
          </cell>
          <cell r="E3286" t="str">
            <v xml:space="preserve"> Oh </v>
          </cell>
          <cell r="G3286">
            <v>0</v>
          </cell>
        </row>
        <row r="3287">
          <cell r="C3287" t="str">
            <v>Mandor</v>
          </cell>
          <cell r="E3287" t="str">
            <v xml:space="preserve"> Oh </v>
          </cell>
          <cell r="G3287">
            <v>0</v>
          </cell>
        </row>
        <row r="3288">
          <cell r="D3288">
            <v>0.4</v>
          </cell>
          <cell r="G3288">
            <v>0</v>
          </cell>
        </row>
        <row r="3289">
          <cell r="B3289" t="str">
            <v>1 M2 Pas. Nok genteng aspal</v>
          </cell>
          <cell r="D3289">
            <v>0.2</v>
          </cell>
          <cell r="G3289">
            <v>0</v>
          </cell>
        </row>
        <row r="3290">
          <cell r="B3290" t="str">
            <v xml:space="preserve">Bahan </v>
          </cell>
          <cell r="D3290">
            <v>0.02</v>
          </cell>
          <cell r="G3290">
            <v>0</v>
          </cell>
        </row>
        <row r="3291">
          <cell r="C3291" t="str">
            <v xml:space="preserve"> Genteng Aspal</v>
          </cell>
          <cell r="D3291">
            <v>0.02</v>
          </cell>
          <cell r="E3291" t="str">
            <v>bh</v>
          </cell>
          <cell r="G3291">
            <v>0</v>
          </cell>
        </row>
        <row r="3292">
          <cell r="C3292" t="str">
            <v>Paku biasa 1/2" - 1"</v>
          </cell>
          <cell r="E3292" t="str">
            <v>kg</v>
          </cell>
          <cell r="G3292">
            <v>0</v>
          </cell>
        </row>
        <row r="3293">
          <cell r="C3293" t="str">
            <v>Kayu borneo balok</v>
          </cell>
          <cell r="E3293" t="str">
            <v>m3</v>
          </cell>
          <cell r="G3293">
            <v>0</v>
          </cell>
        </row>
        <row r="3294">
          <cell r="G3294">
            <v>0</v>
          </cell>
        </row>
        <row r="3295">
          <cell r="B3295" t="str">
            <v xml:space="preserve">Tenaga </v>
          </cell>
          <cell r="D3295">
            <v>2</v>
          </cell>
          <cell r="G3295">
            <v>0</v>
          </cell>
        </row>
        <row r="3296">
          <cell r="C3296" t="str">
            <v>Pekerja</v>
          </cell>
          <cell r="D3296">
            <v>0.05</v>
          </cell>
          <cell r="E3296" t="str">
            <v xml:space="preserve">Oh </v>
          </cell>
          <cell r="G3296">
            <v>0</v>
          </cell>
        </row>
        <row r="3297">
          <cell r="C3297" t="str">
            <v>Tukang Kayu</v>
          </cell>
          <cell r="D3297">
            <v>3.5000000000000001E-3</v>
          </cell>
          <cell r="E3297" t="str">
            <v xml:space="preserve"> Oh </v>
          </cell>
          <cell r="G3297">
            <v>0</v>
          </cell>
        </row>
        <row r="3298">
          <cell r="C3298" t="str">
            <v>Kep. Tukang Kayu</v>
          </cell>
          <cell r="E3298" t="str">
            <v xml:space="preserve"> Oh </v>
          </cell>
          <cell r="G3298">
            <v>0</v>
          </cell>
        </row>
        <row r="3299">
          <cell r="C3299" t="str">
            <v>Mandor</v>
          </cell>
          <cell r="E3299" t="str">
            <v xml:space="preserve"> Oh </v>
          </cell>
          <cell r="G3299">
            <v>0</v>
          </cell>
        </row>
        <row r="3300">
          <cell r="D3300">
            <v>0.125</v>
          </cell>
          <cell r="G3300">
            <v>0</v>
          </cell>
        </row>
        <row r="3301">
          <cell r="B3301" t="str">
            <v xml:space="preserve">1 m' Pasang nok genteng metal </v>
          </cell>
          <cell r="D3301">
            <v>0.25</v>
          </cell>
          <cell r="G3301">
            <v>0</v>
          </cell>
        </row>
        <row r="3302">
          <cell r="B3302" t="str">
            <v xml:space="preserve">Bahan </v>
          </cell>
          <cell r="D3302">
            <v>2.5000000000000001E-2</v>
          </cell>
          <cell r="G3302">
            <v>0</v>
          </cell>
        </row>
        <row r="3303">
          <cell r="C3303" t="str">
            <v>Genteng decra bond</v>
          </cell>
          <cell r="D3303">
            <v>6.0000000000000001E-3</v>
          </cell>
          <cell r="E3303" t="str">
            <v>bh</v>
          </cell>
          <cell r="G3303">
            <v>0</v>
          </cell>
        </row>
        <row r="3304">
          <cell r="C3304" t="str">
            <v>Paku biasa 1/2" - 1"</v>
          </cell>
          <cell r="E3304" t="str">
            <v>kg</v>
          </cell>
          <cell r="G3304">
            <v>0</v>
          </cell>
        </row>
        <row r="3305">
          <cell r="B3305" t="str">
            <v xml:space="preserve">Tenaga </v>
          </cell>
          <cell r="G3305">
            <v>0</v>
          </cell>
        </row>
        <row r="3306">
          <cell r="C3306" t="str">
            <v xml:space="preserve">Pekerja </v>
          </cell>
          <cell r="E3306" t="str">
            <v xml:space="preserve">Oh </v>
          </cell>
          <cell r="G3306">
            <v>0</v>
          </cell>
        </row>
        <row r="3307">
          <cell r="C3307" t="str">
            <v xml:space="preserve">Tukang kayu </v>
          </cell>
          <cell r="D3307">
            <v>1.1000000000000001</v>
          </cell>
          <cell r="E3307" t="str">
            <v xml:space="preserve"> Oh </v>
          </cell>
          <cell r="G3307">
            <v>0</v>
          </cell>
        </row>
        <row r="3308">
          <cell r="C3308" t="str">
            <v xml:space="preserve">Kepala tukang </v>
          </cell>
          <cell r="D3308">
            <v>0.05</v>
          </cell>
          <cell r="E3308" t="str">
            <v xml:space="preserve"> Oh </v>
          </cell>
          <cell r="G3308">
            <v>0</v>
          </cell>
        </row>
        <row r="3309">
          <cell r="C3309" t="str">
            <v xml:space="preserve">Mandor </v>
          </cell>
          <cell r="E3309" t="str">
            <v xml:space="preserve"> Oh </v>
          </cell>
          <cell r="G3309">
            <v>0</v>
          </cell>
        </row>
        <row r="3310">
          <cell r="D3310">
            <v>0.25</v>
          </cell>
          <cell r="G3310">
            <v>0</v>
          </cell>
        </row>
        <row r="3311">
          <cell r="B3311" t="str">
            <v xml:space="preserve">1 m' Pasang nok sirap </v>
          </cell>
          <cell r="D3311">
            <v>0.15</v>
          </cell>
          <cell r="G3311">
            <v>0</v>
          </cell>
        </row>
        <row r="3312">
          <cell r="B3312" t="str">
            <v xml:space="preserve">Bahan </v>
          </cell>
          <cell r="D3312">
            <v>1.4999999999999999E-2</v>
          </cell>
          <cell r="G3312">
            <v>0</v>
          </cell>
        </row>
        <row r="3313">
          <cell r="C3313" t="str">
            <v>Seng plat 3" x 6" bjs 28</v>
          </cell>
          <cell r="D3313">
            <v>1.2999999999999999E-2</v>
          </cell>
          <cell r="E3313" t="str">
            <v>lbr</v>
          </cell>
          <cell r="G3313">
            <v>0</v>
          </cell>
        </row>
        <row r="3314">
          <cell r="C3314" t="str">
            <v>Paku biasa 1/2" - 1"</v>
          </cell>
          <cell r="E3314" t="str">
            <v>kg</v>
          </cell>
          <cell r="G3314">
            <v>0</v>
          </cell>
        </row>
        <row r="3315">
          <cell r="C3315" t="str">
            <v>Paku biasa 2" - 5"</v>
          </cell>
          <cell r="E3315" t="str">
            <v>kg</v>
          </cell>
          <cell r="G3315">
            <v>0</v>
          </cell>
        </row>
        <row r="3316">
          <cell r="C3316" t="str">
            <v>Kayu borneo papan tebal 3 cm</v>
          </cell>
          <cell r="E3316" t="str">
            <v>m3</v>
          </cell>
          <cell r="G3316">
            <v>0</v>
          </cell>
        </row>
        <row r="3317">
          <cell r="D3317">
            <v>0.4</v>
          </cell>
          <cell r="G3317">
            <v>0</v>
          </cell>
        </row>
        <row r="3318">
          <cell r="B3318" t="str">
            <v xml:space="preserve">Tenaga </v>
          </cell>
          <cell r="D3318">
            <v>0.06</v>
          </cell>
          <cell r="G3318">
            <v>0</v>
          </cell>
        </row>
        <row r="3319">
          <cell r="C3319" t="str">
            <v xml:space="preserve">Pekerja </v>
          </cell>
          <cell r="D3319">
            <v>0.05</v>
          </cell>
          <cell r="E3319" t="str">
            <v xml:space="preserve">Oh </v>
          </cell>
          <cell r="G3319">
            <v>0</v>
          </cell>
        </row>
        <row r="3320">
          <cell r="C3320" t="str">
            <v xml:space="preserve">Tukang kayu </v>
          </cell>
          <cell r="D3320">
            <v>4.0000000000000001E-3</v>
          </cell>
          <cell r="E3320" t="str">
            <v xml:space="preserve"> Oh </v>
          </cell>
          <cell r="G3320">
            <v>0</v>
          </cell>
        </row>
        <row r="3321">
          <cell r="C3321" t="str">
            <v xml:space="preserve">Kepala tukang </v>
          </cell>
          <cell r="E3321" t="str">
            <v xml:space="preserve"> Oh </v>
          </cell>
          <cell r="G3321">
            <v>0</v>
          </cell>
        </row>
        <row r="3322">
          <cell r="C3322" t="str">
            <v xml:space="preserve">Mandor </v>
          </cell>
          <cell r="E3322" t="str">
            <v xml:space="preserve"> Oh </v>
          </cell>
          <cell r="G3322">
            <v>0</v>
          </cell>
        </row>
        <row r="3323">
          <cell r="D3323">
            <v>0.125</v>
          </cell>
          <cell r="G3323">
            <v>0</v>
          </cell>
        </row>
        <row r="3324">
          <cell r="B3324" t="str">
            <v xml:space="preserve">1 m' Atap Seng Gelombang </v>
          </cell>
          <cell r="D3324">
            <v>0.25</v>
          </cell>
          <cell r="G3324">
            <v>0</v>
          </cell>
        </row>
        <row r="3325">
          <cell r="B3325" t="str">
            <v xml:space="preserve">Bahan </v>
          </cell>
          <cell r="D3325">
            <v>2.5000000000000001E-3</v>
          </cell>
          <cell r="G3325">
            <v>0</v>
          </cell>
        </row>
        <row r="3326">
          <cell r="C3326" t="str">
            <v>Seng Gelombang plat 3" x 6" bjs 28</v>
          </cell>
          <cell r="D3326">
            <v>6.0000000000000001E-3</v>
          </cell>
          <cell r="E3326" t="str">
            <v>lbr</v>
          </cell>
          <cell r="G3326">
            <v>0</v>
          </cell>
        </row>
        <row r="3327">
          <cell r="C3327" t="str">
            <v>Paku biasa 1/2" - 1"</v>
          </cell>
          <cell r="E3327" t="str">
            <v>kg</v>
          </cell>
          <cell r="G3327">
            <v>0</v>
          </cell>
        </row>
        <row r="3328">
          <cell r="G3328">
            <v>0</v>
          </cell>
        </row>
        <row r="3329">
          <cell r="B3329" t="str">
            <v xml:space="preserve">Tenaga </v>
          </cell>
          <cell r="G3329">
            <v>0</v>
          </cell>
        </row>
        <row r="3330">
          <cell r="C3330" t="str">
            <v xml:space="preserve">Pekerja </v>
          </cell>
          <cell r="D3330">
            <v>0.7</v>
          </cell>
          <cell r="E3330" t="str">
            <v xml:space="preserve">Oh </v>
          </cell>
          <cell r="G3330">
            <v>0</v>
          </cell>
        </row>
        <row r="3331">
          <cell r="C3331" t="str">
            <v xml:space="preserve">Tukang kayu </v>
          </cell>
          <cell r="D3331">
            <v>0.02</v>
          </cell>
          <cell r="E3331" t="str">
            <v xml:space="preserve"> Oh </v>
          </cell>
          <cell r="G3331">
            <v>0</v>
          </cell>
        </row>
        <row r="3332">
          <cell r="C3332" t="str">
            <v xml:space="preserve">Kepala tukang </v>
          </cell>
          <cell r="E3332" t="str">
            <v xml:space="preserve"> Oh </v>
          </cell>
          <cell r="G3332">
            <v>0</v>
          </cell>
        </row>
        <row r="3333">
          <cell r="C3333" t="str">
            <v xml:space="preserve">Mandor </v>
          </cell>
          <cell r="E3333" t="str">
            <v xml:space="preserve"> Oh </v>
          </cell>
          <cell r="G3333">
            <v>0</v>
          </cell>
        </row>
        <row r="3334">
          <cell r="D3334">
            <v>0.12</v>
          </cell>
          <cell r="G3334">
            <v>0</v>
          </cell>
        </row>
        <row r="3335">
          <cell r="B3335" t="str">
            <v xml:space="preserve">1 m' Pas. Atap Nok Seng  </v>
          </cell>
          <cell r="D3335">
            <v>0.06</v>
          </cell>
          <cell r="G3335">
            <v>0</v>
          </cell>
        </row>
        <row r="3336">
          <cell r="B3336" t="str">
            <v xml:space="preserve">Bahan </v>
          </cell>
          <cell r="D3336">
            <v>6.0000000000000001E-3</v>
          </cell>
          <cell r="G3336">
            <v>0</v>
          </cell>
        </row>
        <row r="3337">
          <cell r="C3337" t="str">
            <v>Seng  plat 3" x 6" bjls 28</v>
          </cell>
          <cell r="D3337">
            <v>6.0000000000000001E-3</v>
          </cell>
          <cell r="E3337" t="str">
            <v>lbr</v>
          </cell>
          <cell r="G3337">
            <v>0</v>
          </cell>
        </row>
        <row r="3338">
          <cell r="C3338" t="str">
            <v>Paku biasa 1/2" - 1"</v>
          </cell>
          <cell r="E3338" t="str">
            <v>kg</v>
          </cell>
          <cell r="G3338">
            <v>0</v>
          </cell>
        </row>
        <row r="3339">
          <cell r="G3339">
            <v>0</v>
          </cell>
        </row>
        <row r="3340">
          <cell r="B3340" t="str">
            <v xml:space="preserve">Tenaga </v>
          </cell>
          <cell r="G3340">
            <v>0</v>
          </cell>
        </row>
        <row r="3341">
          <cell r="C3341" t="str">
            <v xml:space="preserve">Pekerja </v>
          </cell>
          <cell r="D3341">
            <v>0.3</v>
          </cell>
          <cell r="E3341" t="str">
            <v xml:space="preserve">Oh </v>
          </cell>
          <cell r="G3341">
            <v>0</v>
          </cell>
        </row>
        <row r="3342">
          <cell r="C3342" t="str">
            <v xml:space="preserve">Tukang kayu </v>
          </cell>
          <cell r="D3342">
            <v>0.04</v>
          </cell>
          <cell r="E3342" t="str">
            <v xml:space="preserve"> Oh </v>
          </cell>
          <cell r="G3342">
            <v>0</v>
          </cell>
        </row>
        <row r="3343">
          <cell r="C3343" t="str">
            <v xml:space="preserve">Kepala tukang </v>
          </cell>
          <cell r="E3343" t="str">
            <v xml:space="preserve"> Oh </v>
          </cell>
          <cell r="G3343">
            <v>0</v>
          </cell>
        </row>
        <row r="3344">
          <cell r="C3344" t="str">
            <v xml:space="preserve">Mandor </v>
          </cell>
          <cell r="E3344" t="str">
            <v xml:space="preserve"> Oh </v>
          </cell>
          <cell r="G3344">
            <v>0</v>
          </cell>
        </row>
        <row r="3345">
          <cell r="D3345">
            <v>0.15</v>
          </cell>
          <cell r="G3345">
            <v>0</v>
          </cell>
        </row>
        <row r="3346">
          <cell r="B3346" t="str">
            <v xml:space="preserve">1 m' Pas. Atap Aluminium  </v>
          </cell>
          <cell r="D3346">
            <v>7.0000000000000007E-2</v>
          </cell>
          <cell r="G3346">
            <v>0</v>
          </cell>
        </row>
        <row r="3347">
          <cell r="B3347" t="str">
            <v xml:space="preserve">Bahan </v>
          </cell>
          <cell r="D3347">
            <v>8.0000000000000002E-3</v>
          </cell>
          <cell r="G3347">
            <v>0</v>
          </cell>
        </row>
        <row r="3348">
          <cell r="C3348" t="str">
            <v>Atap aluminium  Gelombang TB 0,55</v>
          </cell>
          <cell r="D3348">
            <v>6.0000000000000001E-3</v>
          </cell>
          <cell r="E3348" t="str">
            <v>lbr</v>
          </cell>
          <cell r="G3348">
            <v>0</v>
          </cell>
        </row>
        <row r="3349">
          <cell r="C3349" t="str">
            <v>Paku hak panjang 15 cm</v>
          </cell>
          <cell r="E3349" t="str">
            <v>kg</v>
          </cell>
          <cell r="G3349">
            <v>0</v>
          </cell>
        </row>
        <row r="3350">
          <cell r="G3350">
            <v>0</v>
          </cell>
        </row>
        <row r="3351">
          <cell r="B3351" t="str">
            <v xml:space="preserve">Tenaga </v>
          </cell>
          <cell r="G3351">
            <v>0</v>
          </cell>
        </row>
        <row r="3352">
          <cell r="C3352" t="str">
            <v xml:space="preserve">Pekerja </v>
          </cell>
          <cell r="D3352">
            <v>1.05</v>
          </cell>
          <cell r="E3352" t="str">
            <v xml:space="preserve">Oh </v>
          </cell>
          <cell r="G3352">
            <v>0</v>
          </cell>
        </row>
        <row r="3353">
          <cell r="C3353" t="str">
            <v xml:space="preserve">Tukang kayu </v>
          </cell>
          <cell r="D3353">
            <v>0.02</v>
          </cell>
          <cell r="E3353" t="str">
            <v xml:space="preserve"> Oh </v>
          </cell>
          <cell r="G3353">
            <v>0</v>
          </cell>
        </row>
        <row r="3354">
          <cell r="C3354" t="str">
            <v xml:space="preserve">Kepala tukang </v>
          </cell>
          <cell r="E3354" t="str">
            <v xml:space="preserve"> Oh </v>
          </cell>
          <cell r="G3354">
            <v>0</v>
          </cell>
        </row>
        <row r="3355">
          <cell r="C3355" t="str">
            <v xml:space="preserve">Mandor </v>
          </cell>
          <cell r="E3355" t="str">
            <v xml:space="preserve"> Oh </v>
          </cell>
          <cell r="G3355">
            <v>0</v>
          </cell>
        </row>
        <row r="3356">
          <cell r="D3356">
            <v>0.15</v>
          </cell>
          <cell r="G3356">
            <v>0</v>
          </cell>
        </row>
        <row r="3357">
          <cell r="B3357" t="str">
            <v xml:space="preserve">1 m' Pas.nok  Aluminium  </v>
          </cell>
          <cell r="D3357">
            <v>0.75</v>
          </cell>
          <cell r="G3357">
            <v>0</v>
          </cell>
        </row>
        <row r="3358">
          <cell r="B3358" t="str">
            <v xml:space="preserve">Bahan </v>
          </cell>
          <cell r="D3358">
            <v>8.0000000000000002E-3</v>
          </cell>
          <cell r="G3358">
            <v>0</v>
          </cell>
        </row>
        <row r="3359">
          <cell r="C3359" t="str">
            <v xml:space="preserve"> Nok Standrant 40 cm,18 SWG 22</v>
          </cell>
          <cell r="D3359">
            <v>6.0000000000000001E-3</v>
          </cell>
          <cell r="E3359" t="str">
            <v>lbr</v>
          </cell>
          <cell r="G3359">
            <v>0</v>
          </cell>
        </row>
        <row r="3360">
          <cell r="C3360" t="str">
            <v>Paku hak panjang 15 cm</v>
          </cell>
          <cell r="E3360" t="str">
            <v>kg</v>
          </cell>
          <cell r="G3360">
            <v>0</v>
          </cell>
        </row>
        <row r="3361">
          <cell r="G3361">
            <v>0</v>
          </cell>
        </row>
        <row r="3362">
          <cell r="B3362" t="str">
            <v xml:space="preserve">Tenaga </v>
          </cell>
          <cell r="G3362">
            <v>0</v>
          </cell>
        </row>
        <row r="3363">
          <cell r="C3363" t="str">
            <v xml:space="preserve">Pekerja </v>
          </cell>
          <cell r="D3363">
            <v>1.2</v>
          </cell>
          <cell r="E3363" t="str">
            <v xml:space="preserve">Oh </v>
          </cell>
          <cell r="G3363">
            <v>0</v>
          </cell>
        </row>
        <row r="3364">
          <cell r="C3364" t="str">
            <v xml:space="preserve">Tukang kayu </v>
          </cell>
          <cell r="D3364">
            <v>0.04</v>
          </cell>
          <cell r="E3364" t="str">
            <v xml:space="preserve"> Oh </v>
          </cell>
          <cell r="G3364">
            <v>0</v>
          </cell>
        </row>
        <row r="3365">
          <cell r="C3365" t="str">
            <v xml:space="preserve">Kepala tukang </v>
          </cell>
          <cell r="E3365" t="str">
            <v xml:space="preserve"> Oh </v>
          </cell>
          <cell r="G3365">
            <v>0</v>
          </cell>
        </row>
        <row r="3366">
          <cell r="C3366" t="str">
            <v xml:space="preserve">Mandor </v>
          </cell>
          <cell r="E3366" t="str">
            <v xml:space="preserve"> Oh </v>
          </cell>
          <cell r="G3366">
            <v>0</v>
          </cell>
        </row>
        <row r="3367">
          <cell r="D3367">
            <v>0.1</v>
          </cell>
          <cell r="G3367">
            <v>0</v>
          </cell>
        </row>
        <row r="3368">
          <cell r="B3368" t="str">
            <v xml:space="preserve">1 m' Pas.  Aluminium foil / sisalation </v>
          </cell>
          <cell r="D3368">
            <v>1</v>
          </cell>
          <cell r="G3368">
            <v>0</v>
          </cell>
        </row>
        <row r="3369">
          <cell r="B3369" t="str">
            <v xml:space="preserve">Bahan </v>
          </cell>
          <cell r="D3369">
            <v>0.01</v>
          </cell>
          <cell r="G3369">
            <v>0</v>
          </cell>
        </row>
        <row r="3370">
          <cell r="C3370" t="str">
            <v xml:space="preserve"> sisalation / aluminium foil</v>
          </cell>
          <cell r="D3370">
            <v>0.01</v>
          </cell>
          <cell r="E3370" t="str">
            <v>m2</v>
          </cell>
          <cell r="G3370">
            <v>0</v>
          </cell>
        </row>
        <row r="3371">
          <cell r="G3371">
            <v>0</v>
          </cell>
        </row>
        <row r="3372">
          <cell r="B3372" t="str">
            <v xml:space="preserve">Tenaga </v>
          </cell>
          <cell r="G3372">
            <v>0</v>
          </cell>
        </row>
        <row r="3373">
          <cell r="C3373" t="str">
            <v xml:space="preserve">Pekerja </v>
          </cell>
          <cell r="E3373" t="str">
            <v xml:space="preserve">Oh </v>
          </cell>
          <cell r="G3373">
            <v>0</v>
          </cell>
        </row>
        <row r="3374">
          <cell r="C3374" t="str">
            <v xml:space="preserve">Tukang kayu </v>
          </cell>
          <cell r="D3374">
            <v>1.05</v>
          </cell>
          <cell r="E3374" t="str">
            <v xml:space="preserve"> Oh </v>
          </cell>
          <cell r="G3374">
            <v>0</v>
          </cell>
        </row>
        <row r="3375">
          <cell r="C3375" t="str">
            <v xml:space="preserve">Kepala tukang </v>
          </cell>
          <cell r="E3375" t="str">
            <v xml:space="preserve"> Oh </v>
          </cell>
          <cell r="G3375">
            <v>0</v>
          </cell>
        </row>
        <row r="3376">
          <cell r="C3376" t="str">
            <v xml:space="preserve">Mandor </v>
          </cell>
          <cell r="E3376" t="str">
            <v xml:space="preserve"> Oh </v>
          </cell>
          <cell r="G3376">
            <v>0</v>
          </cell>
        </row>
        <row r="3377">
          <cell r="D3377">
            <v>0.15</v>
          </cell>
          <cell r="G3377">
            <v>0</v>
          </cell>
        </row>
        <row r="3378">
          <cell r="B3378" t="str">
            <v xml:space="preserve">Analisa Biaya Kontruksi Pekerjaan </v>
          </cell>
          <cell r="D3378">
            <v>0.05</v>
          </cell>
          <cell r="G3378">
            <v>0</v>
          </cell>
        </row>
        <row r="3379">
          <cell r="B3379" t="str">
            <v>Langit- langit</v>
          </cell>
          <cell r="D3379">
            <v>5.0000000000000001E-3</v>
          </cell>
          <cell r="G3379">
            <v>0</v>
          </cell>
        </row>
        <row r="3380">
          <cell r="B3380" t="str">
            <v xml:space="preserve">1 m2 langit langit asbes (1,00 X 1,00)M, </v>
          </cell>
          <cell r="D3380">
            <v>8.0000000000000002E-3</v>
          </cell>
          <cell r="G3380">
            <v>0</v>
          </cell>
        </row>
        <row r="3381">
          <cell r="B3381" t="str">
            <v>Tebal 6 mm</v>
          </cell>
          <cell r="G3381">
            <v>0</v>
          </cell>
        </row>
        <row r="3382">
          <cell r="B3382" t="str">
            <v xml:space="preserve">Bahan </v>
          </cell>
          <cell r="G3382">
            <v>0</v>
          </cell>
        </row>
        <row r="3383">
          <cell r="C3383" t="str">
            <v>Plat Asbes tebal 6 mm</v>
          </cell>
          <cell r="E3383" t="str">
            <v>lbr</v>
          </cell>
          <cell r="G3383">
            <v>0</v>
          </cell>
        </row>
        <row r="3384">
          <cell r="C3384" t="str">
            <v xml:space="preserve">Paku </v>
          </cell>
          <cell r="E3384" t="str">
            <v>kg</v>
          </cell>
          <cell r="G3384">
            <v>0</v>
          </cell>
        </row>
        <row r="3385">
          <cell r="G3385">
            <v>0</v>
          </cell>
        </row>
        <row r="3386">
          <cell r="B3386" t="str">
            <v xml:space="preserve">Tenaga </v>
          </cell>
          <cell r="G3386">
            <v>0</v>
          </cell>
        </row>
        <row r="3387">
          <cell r="C3387" t="str">
            <v xml:space="preserve">Pekerja </v>
          </cell>
          <cell r="D3387">
            <v>1.1000000000000001</v>
          </cell>
          <cell r="E3387" t="str">
            <v xml:space="preserve">Oh </v>
          </cell>
          <cell r="G3387">
            <v>0</v>
          </cell>
        </row>
        <row r="3388">
          <cell r="C3388" t="str">
            <v xml:space="preserve">Tukang kayu </v>
          </cell>
          <cell r="D3388">
            <v>0.01</v>
          </cell>
          <cell r="E3388" t="str">
            <v xml:space="preserve"> Oh </v>
          </cell>
          <cell r="G3388">
            <v>0</v>
          </cell>
        </row>
        <row r="3389">
          <cell r="C3389" t="str">
            <v xml:space="preserve">Kepala tukang </v>
          </cell>
          <cell r="E3389" t="str">
            <v xml:space="preserve"> Oh </v>
          </cell>
          <cell r="G3389">
            <v>0</v>
          </cell>
        </row>
        <row r="3390">
          <cell r="C3390" t="str">
            <v xml:space="preserve">Mandor </v>
          </cell>
          <cell r="E3390" t="str">
            <v xml:space="preserve"> Oh </v>
          </cell>
          <cell r="G3390">
            <v>0</v>
          </cell>
        </row>
        <row r="3391">
          <cell r="D3391">
            <v>0.03</v>
          </cell>
          <cell r="G3391">
            <v>0</v>
          </cell>
        </row>
        <row r="3392">
          <cell r="B3392" t="str">
            <v xml:space="preserve">1 m2 langit langit asbes (1,00 X 1,00)M, </v>
          </cell>
          <cell r="D3392">
            <v>7.0000000000000007E-2</v>
          </cell>
          <cell r="G3392">
            <v>0</v>
          </cell>
        </row>
        <row r="3393">
          <cell r="B3393" t="str">
            <v>Tebal 5 mm</v>
          </cell>
          <cell r="D3393">
            <v>7.0000000000000001E-3</v>
          </cell>
          <cell r="G3393">
            <v>0</v>
          </cell>
        </row>
        <row r="3394">
          <cell r="B3394" t="str">
            <v xml:space="preserve">Bahan </v>
          </cell>
          <cell r="D3394">
            <v>1.5E-3</v>
          </cell>
          <cell r="G3394">
            <v>0</v>
          </cell>
        </row>
        <row r="3395">
          <cell r="C3395" t="str">
            <v>Plat Asbes tebal 5 mm</v>
          </cell>
          <cell r="E3395" t="str">
            <v>lbr</v>
          </cell>
          <cell r="G3395">
            <v>0</v>
          </cell>
        </row>
        <row r="3396">
          <cell r="C3396" t="str">
            <v xml:space="preserve">Paku </v>
          </cell>
          <cell r="E3396" t="str">
            <v>kg</v>
          </cell>
          <cell r="G3396">
            <v>0</v>
          </cell>
        </row>
        <row r="3397">
          <cell r="G3397">
            <v>0</v>
          </cell>
        </row>
        <row r="3398">
          <cell r="B3398" t="str">
            <v xml:space="preserve">Tenaga </v>
          </cell>
          <cell r="G3398">
            <v>0</v>
          </cell>
        </row>
        <row r="3399">
          <cell r="C3399" t="str">
            <v xml:space="preserve">Pekerja </v>
          </cell>
          <cell r="D3399">
            <v>1.1000000000000001</v>
          </cell>
          <cell r="E3399" t="str">
            <v xml:space="preserve">Oh </v>
          </cell>
          <cell r="G3399">
            <v>0</v>
          </cell>
        </row>
        <row r="3400">
          <cell r="C3400" t="str">
            <v xml:space="preserve">Tukang kayu </v>
          </cell>
          <cell r="D3400">
            <v>0.01</v>
          </cell>
          <cell r="E3400" t="str">
            <v xml:space="preserve"> Oh </v>
          </cell>
          <cell r="G3400">
            <v>0</v>
          </cell>
        </row>
        <row r="3401">
          <cell r="C3401" t="str">
            <v xml:space="preserve">Kepala tukang </v>
          </cell>
          <cell r="E3401" t="str">
            <v xml:space="preserve"> Oh </v>
          </cell>
          <cell r="G3401">
            <v>0</v>
          </cell>
        </row>
        <row r="3402">
          <cell r="C3402" t="str">
            <v xml:space="preserve">Mandor </v>
          </cell>
          <cell r="E3402" t="str">
            <v xml:space="preserve"> Oh </v>
          </cell>
          <cell r="G3402">
            <v>0</v>
          </cell>
        </row>
        <row r="3403">
          <cell r="D3403">
            <v>0.03</v>
          </cell>
          <cell r="G3403">
            <v>0</v>
          </cell>
        </row>
        <row r="3404">
          <cell r="B3404" t="str">
            <v xml:space="preserve">1 m2 langit langit asbes (1,00 X 1,00)M, </v>
          </cell>
          <cell r="D3404">
            <v>7.0000000000000007E-2</v>
          </cell>
          <cell r="G3404">
            <v>0</v>
          </cell>
        </row>
        <row r="3405">
          <cell r="B3405" t="str">
            <v>Tebal 4 mm</v>
          </cell>
          <cell r="D3405">
            <v>7.0000000000000001E-3</v>
          </cell>
          <cell r="G3405">
            <v>0</v>
          </cell>
        </row>
        <row r="3406">
          <cell r="B3406" t="str">
            <v xml:space="preserve">Bahan </v>
          </cell>
          <cell r="D3406">
            <v>1.5E-3</v>
          </cell>
          <cell r="G3406">
            <v>0</v>
          </cell>
        </row>
        <row r="3407">
          <cell r="C3407" t="str">
            <v>Plat Asbes tebal 4 mm</v>
          </cell>
          <cell r="E3407" t="str">
            <v>lbr</v>
          </cell>
          <cell r="G3407">
            <v>0</v>
          </cell>
        </row>
        <row r="3408">
          <cell r="C3408" t="str">
            <v xml:space="preserve">Paku </v>
          </cell>
          <cell r="E3408" t="str">
            <v>kg</v>
          </cell>
          <cell r="G3408">
            <v>0</v>
          </cell>
        </row>
        <row r="3409">
          <cell r="G3409">
            <v>0</v>
          </cell>
        </row>
        <row r="3410">
          <cell r="B3410" t="str">
            <v xml:space="preserve">Tenaga </v>
          </cell>
          <cell r="G3410">
            <v>0</v>
          </cell>
        </row>
        <row r="3411">
          <cell r="C3411" t="str">
            <v xml:space="preserve">Pekerja </v>
          </cell>
          <cell r="D3411">
            <v>1.1000000000000001</v>
          </cell>
          <cell r="E3411" t="str">
            <v xml:space="preserve">Oh </v>
          </cell>
          <cell r="G3411">
            <v>0</v>
          </cell>
        </row>
        <row r="3412">
          <cell r="C3412" t="str">
            <v xml:space="preserve">Tukang kayu </v>
          </cell>
          <cell r="D3412">
            <v>0.01</v>
          </cell>
          <cell r="E3412" t="str">
            <v xml:space="preserve"> Oh </v>
          </cell>
          <cell r="G3412">
            <v>0</v>
          </cell>
        </row>
        <row r="3413">
          <cell r="C3413" t="str">
            <v xml:space="preserve">Kepala tukang </v>
          </cell>
          <cell r="E3413" t="str">
            <v xml:space="preserve"> Oh </v>
          </cell>
          <cell r="G3413">
            <v>0</v>
          </cell>
        </row>
        <row r="3414">
          <cell r="C3414" t="str">
            <v xml:space="preserve">Mandor </v>
          </cell>
          <cell r="E3414" t="str">
            <v xml:space="preserve"> Oh </v>
          </cell>
          <cell r="G3414">
            <v>0</v>
          </cell>
        </row>
        <row r="3415">
          <cell r="D3415">
            <v>0.03</v>
          </cell>
          <cell r="G3415">
            <v>0</v>
          </cell>
        </row>
        <row r="3416">
          <cell r="B3416" t="str">
            <v xml:space="preserve">1 m2 langit langit asbes (1,00 X 1,00)M, </v>
          </cell>
          <cell r="D3416">
            <v>7.0000000000000007E-2</v>
          </cell>
          <cell r="G3416">
            <v>0</v>
          </cell>
        </row>
        <row r="3417">
          <cell r="B3417" t="str">
            <v>Tebal 3.5 mm</v>
          </cell>
          <cell r="D3417">
            <v>7.0000000000000001E-3</v>
          </cell>
          <cell r="G3417">
            <v>0</v>
          </cell>
        </row>
        <row r="3418">
          <cell r="B3418" t="str">
            <v xml:space="preserve">Bahan </v>
          </cell>
          <cell r="D3418">
            <v>1.5E-3</v>
          </cell>
          <cell r="G3418">
            <v>0</v>
          </cell>
        </row>
        <row r="3419">
          <cell r="C3419" t="str">
            <v>Plat Asbes tebal 3.5 mm</v>
          </cell>
          <cell r="E3419" t="str">
            <v>lbr</v>
          </cell>
          <cell r="G3419">
            <v>0</v>
          </cell>
        </row>
        <row r="3420">
          <cell r="C3420" t="str">
            <v xml:space="preserve">Paku </v>
          </cell>
          <cell r="E3420" t="str">
            <v>kg</v>
          </cell>
          <cell r="G3420">
            <v>0</v>
          </cell>
        </row>
        <row r="3421">
          <cell r="G3421">
            <v>0</v>
          </cell>
        </row>
        <row r="3422">
          <cell r="B3422" t="str">
            <v xml:space="preserve">Tenaga </v>
          </cell>
          <cell r="G3422">
            <v>0</v>
          </cell>
        </row>
        <row r="3423">
          <cell r="C3423" t="str">
            <v xml:space="preserve">Pekerja </v>
          </cell>
          <cell r="D3423">
            <v>1.1000000000000001</v>
          </cell>
          <cell r="E3423" t="str">
            <v xml:space="preserve">Oh </v>
          </cell>
          <cell r="G3423">
            <v>0</v>
          </cell>
        </row>
        <row r="3424">
          <cell r="C3424" t="str">
            <v xml:space="preserve">Tukang kayu </v>
          </cell>
          <cell r="D3424">
            <v>0.01</v>
          </cell>
          <cell r="E3424" t="str">
            <v xml:space="preserve"> Oh </v>
          </cell>
          <cell r="G3424">
            <v>0</v>
          </cell>
        </row>
        <row r="3425">
          <cell r="C3425" t="str">
            <v xml:space="preserve">Kepala tukang </v>
          </cell>
          <cell r="E3425" t="str">
            <v xml:space="preserve"> Oh </v>
          </cell>
          <cell r="G3425">
            <v>0</v>
          </cell>
        </row>
        <row r="3426">
          <cell r="C3426" t="str">
            <v xml:space="preserve">Mandor </v>
          </cell>
          <cell r="E3426" t="str">
            <v xml:space="preserve"> Oh </v>
          </cell>
          <cell r="G3426">
            <v>0</v>
          </cell>
        </row>
        <row r="3427">
          <cell r="D3427">
            <v>0.03</v>
          </cell>
          <cell r="G3427">
            <v>0</v>
          </cell>
        </row>
        <row r="3428">
          <cell r="B3428" t="str">
            <v xml:space="preserve">1 m2 langit langit akustik (30 X 30)CM, </v>
          </cell>
          <cell r="D3428">
            <v>7.0000000000000007E-2</v>
          </cell>
          <cell r="G3428">
            <v>0</v>
          </cell>
        </row>
        <row r="3429">
          <cell r="B3429" t="str">
            <v xml:space="preserve">Bahan </v>
          </cell>
          <cell r="D3429">
            <v>7.0000000000000001E-3</v>
          </cell>
          <cell r="G3429">
            <v>0</v>
          </cell>
        </row>
        <row r="3430">
          <cell r="C3430" t="str">
            <v>Akustik ukuran 30 x 30 cm</v>
          </cell>
          <cell r="D3430">
            <v>1.5E-3</v>
          </cell>
          <cell r="E3430" t="str">
            <v>lbr</v>
          </cell>
          <cell r="G3430">
            <v>0</v>
          </cell>
        </row>
        <row r="3431">
          <cell r="C3431" t="str">
            <v xml:space="preserve">Paku </v>
          </cell>
          <cell r="E3431" t="str">
            <v>kg</v>
          </cell>
          <cell r="G3431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55">
          <cell r="B155" t="str">
            <v>Bahan</v>
          </cell>
        </row>
      </sheetData>
      <sheetData sheetId="86">
        <row r="155">
          <cell r="B155" t="str">
            <v>Bahan</v>
          </cell>
        </row>
      </sheetData>
      <sheetData sheetId="87">
        <row r="155">
          <cell r="B155" t="str">
            <v>Bahan</v>
          </cell>
        </row>
      </sheetData>
      <sheetData sheetId="88">
        <row r="155">
          <cell r="B155" t="str">
            <v>Bahan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155">
          <cell r="B155" t="str">
            <v>Bahan</v>
          </cell>
        </row>
      </sheetData>
      <sheetData sheetId="100">
        <row r="155">
          <cell r="B155" t="str">
            <v>Bahan</v>
          </cell>
        </row>
      </sheetData>
      <sheetData sheetId="101">
        <row r="155">
          <cell r="B155" t="str">
            <v>Bahan</v>
          </cell>
        </row>
      </sheetData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>
        <row r="155">
          <cell r="B155" t="str">
            <v>Bahan</v>
          </cell>
        </row>
      </sheetData>
      <sheetData sheetId="468">
        <row r="155">
          <cell r="B155" t="str">
            <v>Bahan</v>
          </cell>
        </row>
      </sheetData>
      <sheetData sheetId="469">
        <row r="155">
          <cell r="B155" t="str">
            <v>Bahan</v>
          </cell>
        </row>
      </sheetData>
      <sheetData sheetId="470">
        <row r="155">
          <cell r="B155" t="str">
            <v>Bahan</v>
          </cell>
        </row>
      </sheetData>
      <sheetData sheetId="471">
        <row r="155">
          <cell r="B155" t="str">
            <v>Bahan</v>
          </cell>
        </row>
      </sheetData>
      <sheetData sheetId="472">
        <row r="155">
          <cell r="B155" t="str">
            <v>Bahan</v>
          </cell>
        </row>
      </sheetData>
      <sheetData sheetId="473">
        <row r="155">
          <cell r="B155" t="str">
            <v>Bahan</v>
          </cell>
        </row>
      </sheetData>
      <sheetData sheetId="474">
        <row r="155">
          <cell r="B155" t="str">
            <v>Bahan</v>
          </cell>
        </row>
      </sheetData>
      <sheetData sheetId="475">
        <row r="155">
          <cell r="B155" t="str">
            <v>Bahan</v>
          </cell>
        </row>
      </sheetData>
      <sheetData sheetId="476">
        <row r="155">
          <cell r="B155" t="str">
            <v>Bahan</v>
          </cell>
        </row>
      </sheetData>
      <sheetData sheetId="477">
        <row r="155">
          <cell r="B155" t="str">
            <v>Bahan</v>
          </cell>
        </row>
      </sheetData>
      <sheetData sheetId="478">
        <row r="155">
          <cell r="B155" t="str">
            <v>Bahan</v>
          </cell>
        </row>
      </sheetData>
      <sheetData sheetId="479">
        <row r="155">
          <cell r="B155" t="str">
            <v>Bahan</v>
          </cell>
        </row>
      </sheetData>
      <sheetData sheetId="480">
        <row r="155">
          <cell r="B155" t="str">
            <v>Bahan</v>
          </cell>
        </row>
      </sheetData>
      <sheetData sheetId="481">
        <row r="155">
          <cell r="B155" t="str">
            <v>Bahan</v>
          </cell>
        </row>
      </sheetData>
      <sheetData sheetId="482">
        <row r="155">
          <cell r="B155" t="str">
            <v>Bahan</v>
          </cell>
        </row>
      </sheetData>
      <sheetData sheetId="483">
        <row r="155">
          <cell r="B155" t="str">
            <v>Bahan</v>
          </cell>
        </row>
      </sheetData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B"/>
      <sheetName val="REKAP"/>
      <sheetName val="VOLUME BP &amp; GALIAN"/>
      <sheetName val="VOLUME PC"/>
      <sheetName val="TB, Balok, Kolom"/>
      <sheetName val="Volume Wiremesh &amp; Lantai"/>
    </sheetNames>
    <sheetDataSet>
      <sheetData sheetId="0"/>
      <sheetData sheetId="1"/>
      <sheetData sheetId="2">
        <row r="2">
          <cell r="W2">
            <v>1005.90176178</v>
          </cell>
        </row>
        <row r="61">
          <cell r="F61">
            <v>18.013000000000005</v>
          </cell>
          <cell r="M61">
            <v>144.10400000000004</v>
          </cell>
          <cell r="T61">
            <v>14.410399999999999</v>
          </cell>
        </row>
        <row r="76">
          <cell r="F76">
            <v>9.7693750000000019</v>
          </cell>
          <cell r="M76">
            <v>63.944999999999993</v>
          </cell>
          <cell r="T76">
            <v>7.9931249999999991</v>
          </cell>
        </row>
        <row r="108">
          <cell r="F108">
            <v>5.5738799999999991</v>
          </cell>
        </row>
        <row r="109">
          <cell r="M109">
            <v>57.168000000000006</v>
          </cell>
          <cell r="T109">
            <v>3.7159199999999997</v>
          </cell>
        </row>
      </sheetData>
      <sheetData sheetId="3">
        <row r="3">
          <cell r="U3">
            <v>1701.3</v>
          </cell>
        </row>
        <row r="5">
          <cell r="U5">
            <v>770.4</v>
          </cell>
        </row>
        <row r="10">
          <cell r="I10">
            <v>39.6</v>
          </cell>
        </row>
        <row r="11">
          <cell r="I11">
            <v>62.400000000000006</v>
          </cell>
        </row>
        <row r="12">
          <cell r="I12">
            <v>22.68</v>
          </cell>
        </row>
        <row r="16">
          <cell r="G16">
            <v>5.3999999999999995</v>
          </cell>
        </row>
        <row r="17">
          <cell r="G17">
            <v>7.4880000000000013</v>
          </cell>
        </row>
        <row r="18">
          <cell r="G18">
            <v>2.2679999999999998</v>
          </cell>
        </row>
      </sheetData>
      <sheetData sheetId="4">
        <row r="2">
          <cell r="R2">
            <v>1525.64</v>
          </cell>
        </row>
        <row r="3">
          <cell r="R3">
            <v>641.28000000000009</v>
          </cell>
        </row>
        <row r="7">
          <cell r="S7">
            <v>595.50800000000004</v>
          </cell>
        </row>
        <row r="8">
          <cell r="S8">
            <v>740.26800000000003</v>
          </cell>
        </row>
        <row r="10">
          <cell r="S10">
            <v>146.74412938267616</v>
          </cell>
        </row>
        <row r="28">
          <cell r="N28">
            <v>1062.5</v>
          </cell>
          <cell r="O28">
            <v>144.47999999999999</v>
          </cell>
          <cell r="P28">
            <v>6.5519999999999996</v>
          </cell>
        </row>
        <row r="29">
          <cell r="N29">
            <v>387.5</v>
          </cell>
          <cell r="O29">
            <v>69.599999999999994</v>
          </cell>
          <cell r="P29">
            <v>3.5100000000000002</v>
          </cell>
        </row>
        <row r="43">
          <cell r="P43">
            <v>58.520000000000017</v>
          </cell>
          <cell r="Q43">
            <v>4.7879999999999994</v>
          </cell>
        </row>
        <row r="60">
          <cell r="P60">
            <v>33.515999999999998</v>
          </cell>
          <cell r="Q60">
            <v>1.7289999999999992</v>
          </cell>
        </row>
        <row r="85">
          <cell r="P85">
            <v>69.975000000000009</v>
          </cell>
          <cell r="Q85">
            <v>4.1984999999999983</v>
          </cell>
        </row>
        <row r="205">
          <cell r="Q205">
            <v>8.9840000000000018</v>
          </cell>
          <cell r="R205">
            <v>0.33690000000000009</v>
          </cell>
        </row>
      </sheetData>
      <sheetData sheetId="5">
        <row r="3">
          <cell r="G3">
            <v>39.145199999999996</v>
          </cell>
        </row>
        <row r="9">
          <cell r="F9">
            <v>183.99700000000001</v>
          </cell>
          <cell r="G9">
            <v>22.079639999999998</v>
          </cell>
        </row>
        <row r="19">
          <cell r="Q19">
            <v>1057.02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eam mbp" id="{942C72BD-8E11-4CFA-8551-9D49ABDA0ED3}" userId="23f082eb16cbde3e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4-06-30T09:54:20.81" personId="{942C72BD-8E11-4CFA-8551-9D49ABDA0ED3}" id="{082A322B-4644-4C8E-A3BA-D13B3314E35C}">
    <text>Listrik 2200 Watt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7" dT="2024-06-30T09:54:20.81" personId="{942C72BD-8E11-4CFA-8551-9D49ABDA0ED3}" id="{4570138B-F56B-452C-AA96-99BC57C470C6}">
    <text>Listrik 2200 Watt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89F8-EC62-4A05-A944-A18F4DF417B4}">
  <sheetPr>
    <tabColor rgb="FF92D050"/>
  </sheetPr>
  <dimension ref="A1:G26"/>
  <sheetViews>
    <sheetView view="pageBreakPreview" topLeftCell="A11" zoomScaleSheetLayoutView="100" workbookViewId="0">
      <selection activeCell="D24" sqref="D24"/>
    </sheetView>
  </sheetViews>
  <sheetFormatPr defaultRowHeight="15.5"/>
  <cols>
    <col min="1" max="1" width="8" style="9" customWidth="1"/>
    <col min="2" max="2" width="14.54296875" style="9" customWidth="1"/>
    <col min="3" max="3" width="1.90625" style="9" customWidth="1"/>
    <col min="4" max="4" width="64.36328125" style="1" customWidth="1"/>
    <col min="5" max="5" width="32" style="2" customWidth="1"/>
    <col min="6" max="6" width="8.90625" style="1"/>
    <col min="7" max="7" width="24.08984375" style="1" customWidth="1"/>
    <col min="8" max="240" width="8.90625" style="1"/>
    <col min="241" max="241" width="9.6328125" style="1" customWidth="1"/>
    <col min="242" max="242" width="47.36328125" style="1" customWidth="1"/>
    <col min="243" max="243" width="10.08984375" style="1" customWidth="1"/>
    <col min="244" max="244" width="6.6328125" style="1" customWidth="1"/>
    <col min="245" max="245" width="22.453125" style="1" customWidth="1"/>
    <col min="246" max="246" width="25.36328125" style="1" customWidth="1"/>
    <col min="247" max="247" width="31.90625" style="1" customWidth="1"/>
    <col min="248" max="248" width="33.54296875" style="1" customWidth="1"/>
    <col min="249" max="249" width="24.90625" style="1" customWidth="1"/>
    <col min="250" max="250" width="23.08984375" style="1" bestFit="1" customWidth="1"/>
    <col min="251" max="251" width="26.54296875" style="1" customWidth="1"/>
    <col min="252" max="252" width="17.08984375" style="1" customWidth="1"/>
    <col min="253" max="496" width="8.90625" style="1"/>
    <col min="497" max="497" width="9.6328125" style="1" customWidth="1"/>
    <col min="498" max="498" width="47.36328125" style="1" customWidth="1"/>
    <col min="499" max="499" width="10.08984375" style="1" customWidth="1"/>
    <col min="500" max="500" width="6.6328125" style="1" customWidth="1"/>
    <col min="501" max="501" width="22.453125" style="1" customWidth="1"/>
    <col min="502" max="502" width="25.36328125" style="1" customWidth="1"/>
    <col min="503" max="503" width="31.90625" style="1" customWidth="1"/>
    <col min="504" max="504" width="33.54296875" style="1" customWidth="1"/>
    <col min="505" max="505" width="24.90625" style="1" customWidth="1"/>
    <col min="506" max="506" width="23.08984375" style="1" bestFit="1" customWidth="1"/>
    <col min="507" max="507" width="26.54296875" style="1" customWidth="1"/>
    <col min="508" max="508" width="17.08984375" style="1" customWidth="1"/>
    <col min="509" max="752" width="8.90625" style="1"/>
    <col min="753" max="753" width="9.6328125" style="1" customWidth="1"/>
    <col min="754" max="754" width="47.36328125" style="1" customWidth="1"/>
    <col min="755" max="755" width="10.08984375" style="1" customWidth="1"/>
    <col min="756" max="756" width="6.6328125" style="1" customWidth="1"/>
    <col min="757" max="757" width="22.453125" style="1" customWidth="1"/>
    <col min="758" max="758" width="25.36328125" style="1" customWidth="1"/>
    <col min="759" max="759" width="31.90625" style="1" customWidth="1"/>
    <col min="760" max="760" width="33.54296875" style="1" customWidth="1"/>
    <col min="761" max="761" width="24.90625" style="1" customWidth="1"/>
    <col min="762" max="762" width="23.08984375" style="1" bestFit="1" customWidth="1"/>
    <col min="763" max="763" width="26.54296875" style="1" customWidth="1"/>
    <col min="764" max="764" width="17.08984375" style="1" customWidth="1"/>
    <col min="765" max="1008" width="8.90625" style="1"/>
    <col min="1009" max="1009" width="9.6328125" style="1" customWidth="1"/>
    <col min="1010" max="1010" width="47.36328125" style="1" customWidth="1"/>
    <col min="1011" max="1011" width="10.08984375" style="1" customWidth="1"/>
    <col min="1012" max="1012" width="6.6328125" style="1" customWidth="1"/>
    <col min="1013" max="1013" width="22.453125" style="1" customWidth="1"/>
    <col min="1014" max="1014" width="25.36328125" style="1" customWidth="1"/>
    <col min="1015" max="1015" width="31.90625" style="1" customWidth="1"/>
    <col min="1016" max="1016" width="33.54296875" style="1" customWidth="1"/>
    <col min="1017" max="1017" width="24.90625" style="1" customWidth="1"/>
    <col min="1018" max="1018" width="23.08984375" style="1" bestFit="1" customWidth="1"/>
    <col min="1019" max="1019" width="26.54296875" style="1" customWidth="1"/>
    <col min="1020" max="1020" width="17.08984375" style="1" customWidth="1"/>
    <col min="1021" max="1264" width="8.90625" style="1"/>
    <col min="1265" max="1265" width="9.6328125" style="1" customWidth="1"/>
    <col min="1266" max="1266" width="47.36328125" style="1" customWidth="1"/>
    <col min="1267" max="1267" width="10.08984375" style="1" customWidth="1"/>
    <col min="1268" max="1268" width="6.6328125" style="1" customWidth="1"/>
    <col min="1269" max="1269" width="22.453125" style="1" customWidth="1"/>
    <col min="1270" max="1270" width="25.36328125" style="1" customWidth="1"/>
    <col min="1271" max="1271" width="31.90625" style="1" customWidth="1"/>
    <col min="1272" max="1272" width="33.54296875" style="1" customWidth="1"/>
    <col min="1273" max="1273" width="24.90625" style="1" customWidth="1"/>
    <col min="1274" max="1274" width="23.08984375" style="1" bestFit="1" customWidth="1"/>
    <col min="1275" max="1275" width="26.54296875" style="1" customWidth="1"/>
    <col min="1276" max="1276" width="17.08984375" style="1" customWidth="1"/>
    <col min="1277" max="1520" width="8.90625" style="1"/>
    <col min="1521" max="1521" width="9.6328125" style="1" customWidth="1"/>
    <col min="1522" max="1522" width="47.36328125" style="1" customWidth="1"/>
    <col min="1523" max="1523" width="10.08984375" style="1" customWidth="1"/>
    <col min="1524" max="1524" width="6.6328125" style="1" customWidth="1"/>
    <col min="1525" max="1525" width="22.453125" style="1" customWidth="1"/>
    <col min="1526" max="1526" width="25.36328125" style="1" customWidth="1"/>
    <col min="1527" max="1527" width="31.90625" style="1" customWidth="1"/>
    <col min="1528" max="1528" width="33.54296875" style="1" customWidth="1"/>
    <col min="1529" max="1529" width="24.90625" style="1" customWidth="1"/>
    <col min="1530" max="1530" width="23.08984375" style="1" bestFit="1" customWidth="1"/>
    <col min="1531" max="1531" width="26.54296875" style="1" customWidth="1"/>
    <col min="1532" max="1532" width="17.08984375" style="1" customWidth="1"/>
    <col min="1533" max="1776" width="8.90625" style="1"/>
    <col min="1777" max="1777" width="9.6328125" style="1" customWidth="1"/>
    <col min="1778" max="1778" width="47.36328125" style="1" customWidth="1"/>
    <col min="1779" max="1779" width="10.08984375" style="1" customWidth="1"/>
    <col min="1780" max="1780" width="6.6328125" style="1" customWidth="1"/>
    <col min="1781" max="1781" width="22.453125" style="1" customWidth="1"/>
    <col min="1782" max="1782" width="25.36328125" style="1" customWidth="1"/>
    <col min="1783" max="1783" width="31.90625" style="1" customWidth="1"/>
    <col min="1784" max="1784" width="33.54296875" style="1" customWidth="1"/>
    <col min="1785" max="1785" width="24.90625" style="1" customWidth="1"/>
    <col min="1786" max="1786" width="23.08984375" style="1" bestFit="1" customWidth="1"/>
    <col min="1787" max="1787" width="26.54296875" style="1" customWidth="1"/>
    <col min="1788" max="1788" width="17.08984375" style="1" customWidth="1"/>
    <col min="1789" max="2032" width="8.90625" style="1"/>
    <col min="2033" max="2033" width="9.6328125" style="1" customWidth="1"/>
    <col min="2034" max="2034" width="47.36328125" style="1" customWidth="1"/>
    <col min="2035" max="2035" width="10.08984375" style="1" customWidth="1"/>
    <col min="2036" max="2036" width="6.6328125" style="1" customWidth="1"/>
    <col min="2037" max="2037" width="22.453125" style="1" customWidth="1"/>
    <col min="2038" max="2038" width="25.36328125" style="1" customWidth="1"/>
    <col min="2039" max="2039" width="31.90625" style="1" customWidth="1"/>
    <col min="2040" max="2040" width="33.54296875" style="1" customWidth="1"/>
    <col min="2041" max="2041" width="24.90625" style="1" customWidth="1"/>
    <col min="2042" max="2042" width="23.08984375" style="1" bestFit="1" customWidth="1"/>
    <col min="2043" max="2043" width="26.54296875" style="1" customWidth="1"/>
    <col min="2044" max="2044" width="17.08984375" style="1" customWidth="1"/>
    <col min="2045" max="2288" width="8.90625" style="1"/>
    <col min="2289" max="2289" width="9.6328125" style="1" customWidth="1"/>
    <col min="2290" max="2290" width="47.36328125" style="1" customWidth="1"/>
    <col min="2291" max="2291" width="10.08984375" style="1" customWidth="1"/>
    <col min="2292" max="2292" width="6.6328125" style="1" customWidth="1"/>
    <col min="2293" max="2293" width="22.453125" style="1" customWidth="1"/>
    <col min="2294" max="2294" width="25.36328125" style="1" customWidth="1"/>
    <col min="2295" max="2295" width="31.90625" style="1" customWidth="1"/>
    <col min="2296" max="2296" width="33.54296875" style="1" customWidth="1"/>
    <col min="2297" max="2297" width="24.90625" style="1" customWidth="1"/>
    <col min="2298" max="2298" width="23.08984375" style="1" bestFit="1" customWidth="1"/>
    <col min="2299" max="2299" width="26.54296875" style="1" customWidth="1"/>
    <col min="2300" max="2300" width="17.08984375" style="1" customWidth="1"/>
    <col min="2301" max="2544" width="8.90625" style="1"/>
    <col min="2545" max="2545" width="9.6328125" style="1" customWidth="1"/>
    <col min="2546" max="2546" width="47.36328125" style="1" customWidth="1"/>
    <col min="2547" max="2547" width="10.08984375" style="1" customWidth="1"/>
    <col min="2548" max="2548" width="6.6328125" style="1" customWidth="1"/>
    <col min="2549" max="2549" width="22.453125" style="1" customWidth="1"/>
    <col min="2550" max="2550" width="25.36328125" style="1" customWidth="1"/>
    <col min="2551" max="2551" width="31.90625" style="1" customWidth="1"/>
    <col min="2552" max="2552" width="33.54296875" style="1" customWidth="1"/>
    <col min="2553" max="2553" width="24.90625" style="1" customWidth="1"/>
    <col min="2554" max="2554" width="23.08984375" style="1" bestFit="1" customWidth="1"/>
    <col min="2555" max="2555" width="26.54296875" style="1" customWidth="1"/>
    <col min="2556" max="2556" width="17.08984375" style="1" customWidth="1"/>
    <col min="2557" max="2800" width="8.90625" style="1"/>
    <col min="2801" max="2801" width="9.6328125" style="1" customWidth="1"/>
    <col min="2802" max="2802" width="47.36328125" style="1" customWidth="1"/>
    <col min="2803" max="2803" width="10.08984375" style="1" customWidth="1"/>
    <col min="2804" max="2804" width="6.6328125" style="1" customWidth="1"/>
    <col min="2805" max="2805" width="22.453125" style="1" customWidth="1"/>
    <col min="2806" max="2806" width="25.36328125" style="1" customWidth="1"/>
    <col min="2807" max="2807" width="31.90625" style="1" customWidth="1"/>
    <col min="2808" max="2808" width="33.54296875" style="1" customWidth="1"/>
    <col min="2809" max="2809" width="24.90625" style="1" customWidth="1"/>
    <col min="2810" max="2810" width="23.08984375" style="1" bestFit="1" customWidth="1"/>
    <col min="2811" max="2811" width="26.54296875" style="1" customWidth="1"/>
    <col min="2812" max="2812" width="17.08984375" style="1" customWidth="1"/>
    <col min="2813" max="3056" width="8.90625" style="1"/>
    <col min="3057" max="3057" width="9.6328125" style="1" customWidth="1"/>
    <col min="3058" max="3058" width="47.36328125" style="1" customWidth="1"/>
    <col min="3059" max="3059" width="10.08984375" style="1" customWidth="1"/>
    <col min="3060" max="3060" width="6.6328125" style="1" customWidth="1"/>
    <col min="3061" max="3061" width="22.453125" style="1" customWidth="1"/>
    <col min="3062" max="3062" width="25.36328125" style="1" customWidth="1"/>
    <col min="3063" max="3063" width="31.90625" style="1" customWidth="1"/>
    <col min="3064" max="3064" width="33.54296875" style="1" customWidth="1"/>
    <col min="3065" max="3065" width="24.90625" style="1" customWidth="1"/>
    <col min="3066" max="3066" width="23.08984375" style="1" bestFit="1" customWidth="1"/>
    <col min="3067" max="3067" width="26.54296875" style="1" customWidth="1"/>
    <col min="3068" max="3068" width="17.08984375" style="1" customWidth="1"/>
    <col min="3069" max="3312" width="8.90625" style="1"/>
    <col min="3313" max="3313" width="9.6328125" style="1" customWidth="1"/>
    <col min="3314" max="3314" width="47.36328125" style="1" customWidth="1"/>
    <col min="3315" max="3315" width="10.08984375" style="1" customWidth="1"/>
    <col min="3316" max="3316" width="6.6328125" style="1" customWidth="1"/>
    <col min="3317" max="3317" width="22.453125" style="1" customWidth="1"/>
    <col min="3318" max="3318" width="25.36328125" style="1" customWidth="1"/>
    <col min="3319" max="3319" width="31.90625" style="1" customWidth="1"/>
    <col min="3320" max="3320" width="33.54296875" style="1" customWidth="1"/>
    <col min="3321" max="3321" width="24.90625" style="1" customWidth="1"/>
    <col min="3322" max="3322" width="23.08984375" style="1" bestFit="1" customWidth="1"/>
    <col min="3323" max="3323" width="26.54296875" style="1" customWidth="1"/>
    <col min="3324" max="3324" width="17.08984375" style="1" customWidth="1"/>
    <col min="3325" max="3568" width="8.90625" style="1"/>
    <col min="3569" max="3569" width="9.6328125" style="1" customWidth="1"/>
    <col min="3570" max="3570" width="47.36328125" style="1" customWidth="1"/>
    <col min="3571" max="3571" width="10.08984375" style="1" customWidth="1"/>
    <col min="3572" max="3572" width="6.6328125" style="1" customWidth="1"/>
    <col min="3573" max="3573" width="22.453125" style="1" customWidth="1"/>
    <col min="3574" max="3574" width="25.36328125" style="1" customWidth="1"/>
    <col min="3575" max="3575" width="31.90625" style="1" customWidth="1"/>
    <col min="3576" max="3576" width="33.54296875" style="1" customWidth="1"/>
    <col min="3577" max="3577" width="24.90625" style="1" customWidth="1"/>
    <col min="3578" max="3578" width="23.08984375" style="1" bestFit="1" customWidth="1"/>
    <col min="3579" max="3579" width="26.54296875" style="1" customWidth="1"/>
    <col min="3580" max="3580" width="17.08984375" style="1" customWidth="1"/>
    <col min="3581" max="3824" width="8.90625" style="1"/>
    <col min="3825" max="3825" width="9.6328125" style="1" customWidth="1"/>
    <col min="3826" max="3826" width="47.36328125" style="1" customWidth="1"/>
    <col min="3827" max="3827" width="10.08984375" style="1" customWidth="1"/>
    <col min="3828" max="3828" width="6.6328125" style="1" customWidth="1"/>
    <col min="3829" max="3829" width="22.453125" style="1" customWidth="1"/>
    <col min="3830" max="3830" width="25.36328125" style="1" customWidth="1"/>
    <col min="3831" max="3831" width="31.90625" style="1" customWidth="1"/>
    <col min="3832" max="3832" width="33.54296875" style="1" customWidth="1"/>
    <col min="3833" max="3833" width="24.90625" style="1" customWidth="1"/>
    <col min="3834" max="3834" width="23.08984375" style="1" bestFit="1" customWidth="1"/>
    <col min="3835" max="3835" width="26.54296875" style="1" customWidth="1"/>
    <col min="3836" max="3836" width="17.08984375" style="1" customWidth="1"/>
    <col min="3837" max="4080" width="8.90625" style="1"/>
    <col min="4081" max="4081" width="9.6328125" style="1" customWidth="1"/>
    <col min="4082" max="4082" width="47.36328125" style="1" customWidth="1"/>
    <col min="4083" max="4083" width="10.08984375" style="1" customWidth="1"/>
    <col min="4084" max="4084" width="6.6328125" style="1" customWidth="1"/>
    <col min="4085" max="4085" width="22.453125" style="1" customWidth="1"/>
    <col min="4086" max="4086" width="25.36328125" style="1" customWidth="1"/>
    <col min="4087" max="4087" width="31.90625" style="1" customWidth="1"/>
    <col min="4088" max="4088" width="33.54296875" style="1" customWidth="1"/>
    <col min="4089" max="4089" width="24.90625" style="1" customWidth="1"/>
    <col min="4090" max="4090" width="23.08984375" style="1" bestFit="1" customWidth="1"/>
    <col min="4091" max="4091" width="26.54296875" style="1" customWidth="1"/>
    <col min="4092" max="4092" width="17.08984375" style="1" customWidth="1"/>
    <col min="4093" max="4336" width="8.90625" style="1"/>
    <col min="4337" max="4337" width="9.6328125" style="1" customWidth="1"/>
    <col min="4338" max="4338" width="47.36328125" style="1" customWidth="1"/>
    <col min="4339" max="4339" width="10.08984375" style="1" customWidth="1"/>
    <col min="4340" max="4340" width="6.6328125" style="1" customWidth="1"/>
    <col min="4341" max="4341" width="22.453125" style="1" customWidth="1"/>
    <col min="4342" max="4342" width="25.36328125" style="1" customWidth="1"/>
    <col min="4343" max="4343" width="31.90625" style="1" customWidth="1"/>
    <col min="4344" max="4344" width="33.54296875" style="1" customWidth="1"/>
    <col min="4345" max="4345" width="24.90625" style="1" customWidth="1"/>
    <col min="4346" max="4346" width="23.08984375" style="1" bestFit="1" customWidth="1"/>
    <col min="4347" max="4347" width="26.54296875" style="1" customWidth="1"/>
    <col min="4348" max="4348" width="17.08984375" style="1" customWidth="1"/>
    <col min="4349" max="4592" width="8.90625" style="1"/>
    <col min="4593" max="4593" width="9.6328125" style="1" customWidth="1"/>
    <col min="4594" max="4594" width="47.36328125" style="1" customWidth="1"/>
    <col min="4595" max="4595" width="10.08984375" style="1" customWidth="1"/>
    <col min="4596" max="4596" width="6.6328125" style="1" customWidth="1"/>
    <col min="4597" max="4597" width="22.453125" style="1" customWidth="1"/>
    <col min="4598" max="4598" width="25.36328125" style="1" customWidth="1"/>
    <col min="4599" max="4599" width="31.90625" style="1" customWidth="1"/>
    <col min="4600" max="4600" width="33.54296875" style="1" customWidth="1"/>
    <col min="4601" max="4601" width="24.90625" style="1" customWidth="1"/>
    <col min="4602" max="4602" width="23.08984375" style="1" bestFit="1" customWidth="1"/>
    <col min="4603" max="4603" width="26.54296875" style="1" customWidth="1"/>
    <col min="4604" max="4604" width="17.08984375" style="1" customWidth="1"/>
    <col min="4605" max="4848" width="8.90625" style="1"/>
    <col min="4849" max="4849" width="9.6328125" style="1" customWidth="1"/>
    <col min="4850" max="4850" width="47.36328125" style="1" customWidth="1"/>
    <col min="4851" max="4851" width="10.08984375" style="1" customWidth="1"/>
    <col min="4852" max="4852" width="6.6328125" style="1" customWidth="1"/>
    <col min="4853" max="4853" width="22.453125" style="1" customWidth="1"/>
    <col min="4854" max="4854" width="25.36328125" style="1" customWidth="1"/>
    <col min="4855" max="4855" width="31.90625" style="1" customWidth="1"/>
    <col min="4856" max="4856" width="33.54296875" style="1" customWidth="1"/>
    <col min="4857" max="4857" width="24.90625" style="1" customWidth="1"/>
    <col min="4858" max="4858" width="23.08984375" style="1" bestFit="1" customWidth="1"/>
    <col min="4859" max="4859" width="26.54296875" style="1" customWidth="1"/>
    <col min="4860" max="4860" width="17.08984375" style="1" customWidth="1"/>
    <col min="4861" max="5104" width="8.90625" style="1"/>
    <col min="5105" max="5105" width="9.6328125" style="1" customWidth="1"/>
    <col min="5106" max="5106" width="47.36328125" style="1" customWidth="1"/>
    <col min="5107" max="5107" width="10.08984375" style="1" customWidth="1"/>
    <col min="5108" max="5108" width="6.6328125" style="1" customWidth="1"/>
    <col min="5109" max="5109" width="22.453125" style="1" customWidth="1"/>
    <col min="5110" max="5110" width="25.36328125" style="1" customWidth="1"/>
    <col min="5111" max="5111" width="31.90625" style="1" customWidth="1"/>
    <col min="5112" max="5112" width="33.54296875" style="1" customWidth="1"/>
    <col min="5113" max="5113" width="24.90625" style="1" customWidth="1"/>
    <col min="5114" max="5114" width="23.08984375" style="1" bestFit="1" customWidth="1"/>
    <col min="5115" max="5115" width="26.54296875" style="1" customWidth="1"/>
    <col min="5116" max="5116" width="17.08984375" style="1" customWidth="1"/>
    <col min="5117" max="5360" width="8.90625" style="1"/>
    <col min="5361" max="5361" width="9.6328125" style="1" customWidth="1"/>
    <col min="5362" max="5362" width="47.36328125" style="1" customWidth="1"/>
    <col min="5363" max="5363" width="10.08984375" style="1" customWidth="1"/>
    <col min="5364" max="5364" width="6.6328125" style="1" customWidth="1"/>
    <col min="5365" max="5365" width="22.453125" style="1" customWidth="1"/>
    <col min="5366" max="5366" width="25.36328125" style="1" customWidth="1"/>
    <col min="5367" max="5367" width="31.90625" style="1" customWidth="1"/>
    <col min="5368" max="5368" width="33.54296875" style="1" customWidth="1"/>
    <col min="5369" max="5369" width="24.90625" style="1" customWidth="1"/>
    <col min="5370" max="5370" width="23.08984375" style="1" bestFit="1" customWidth="1"/>
    <col min="5371" max="5371" width="26.54296875" style="1" customWidth="1"/>
    <col min="5372" max="5372" width="17.08984375" style="1" customWidth="1"/>
    <col min="5373" max="5616" width="8.90625" style="1"/>
    <col min="5617" max="5617" width="9.6328125" style="1" customWidth="1"/>
    <col min="5618" max="5618" width="47.36328125" style="1" customWidth="1"/>
    <col min="5619" max="5619" width="10.08984375" style="1" customWidth="1"/>
    <col min="5620" max="5620" width="6.6328125" style="1" customWidth="1"/>
    <col min="5621" max="5621" width="22.453125" style="1" customWidth="1"/>
    <col min="5622" max="5622" width="25.36328125" style="1" customWidth="1"/>
    <col min="5623" max="5623" width="31.90625" style="1" customWidth="1"/>
    <col min="5624" max="5624" width="33.54296875" style="1" customWidth="1"/>
    <col min="5625" max="5625" width="24.90625" style="1" customWidth="1"/>
    <col min="5626" max="5626" width="23.08984375" style="1" bestFit="1" customWidth="1"/>
    <col min="5627" max="5627" width="26.54296875" style="1" customWidth="1"/>
    <col min="5628" max="5628" width="17.08984375" style="1" customWidth="1"/>
    <col min="5629" max="5872" width="8.90625" style="1"/>
    <col min="5873" max="5873" width="9.6328125" style="1" customWidth="1"/>
    <col min="5874" max="5874" width="47.36328125" style="1" customWidth="1"/>
    <col min="5875" max="5875" width="10.08984375" style="1" customWidth="1"/>
    <col min="5876" max="5876" width="6.6328125" style="1" customWidth="1"/>
    <col min="5877" max="5877" width="22.453125" style="1" customWidth="1"/>
    <col min="5878" max="5878" width="25.36328125" style="1" customWidth="1"/>
    <col min="5879" max="5879" width="31.90625" style="1" customWidth="1"/>
    <col min="5880" max="5880" width="33.54296875" style="1" customWidth="1"/>
    <col min="5881" max="5881" width="24.90625" style="1" customWidth="1"/>
    <col min="5882" max="5882" width="23.08984375" style="1" bestFit="1" customWidth="1"/>
    <col min="5883" max="5883" width="26.54296875" style="1" customWidth="1"/>
    <col min="5884" max="5884" width="17.08984375" style="1" customWidth="1"/>
    <col min="5885" max="6128" width="8.90625" style="1"/>
    <col min="6129" max="6129" width="9.6328125" style="1" customWidth="1"/>
    <col min="6130" max="6130" width="47.36328125" style="1" customWidth="1"/>
    <col min="6131" max="6131" width="10.08984375" style="1" customWidth="1"/>
    <col min="6132" max="6132" width="6.6328125" style="1" customWidth="1"/>
    <col min="6133" max="6133" width="22.453125" style="1" customWidth="1"/>
    <col min="6134" max="6134" width="25.36328125" style="1" customWidth="1"/>
    <col min="6135" max="6135" width="31.90625" style="1" customWidth="1"/>
    <col min="6136" max="6136" width="33.54296875" style="1" customWidth="1"/>
    <col min="6137" max="6137" width="24.90625" style="1" customWidth="1"/>
    <col min="6138" max="6138" width="23.08984375" style="1" bestFit="1" customWidth="1"/>
    <col min="6139" max="6139" width="26.54296875" style="1" customWidth="1"/>
    <col min="6140" max="6140" width="17.08984375" style="1" customWidth="1"/>
    <col min="6141" max="6384" width="8.90625" style="1"/>
    <col min="6385" max="6385" width="9.6328125" style="1" customWidth="1"/>
    <col min="6386" max="6386" width="47.36328125" style="1" customWidth="1"/>
    <col min="6387" max="6387" width="10.08984375" style="1" customWidth="1"/>
    <col min="6388" max="6388" width="6.6328125" style="1" customWidth="1"/>
    <col min="6389" max="6389" width="22.453125" style="1" customWidth="1"/>
    <col min="6390" max="6390" width="25.36328125" style="1" customWidth="1"/>
    <col min="6391" max="6391" width="31.90625" style="1" customWidth="1"/>
    <col min="6392" max="6392" width="33.54296875" style="1" customWidth="1"/>
    <col min="6393" max="6393" width="24.90625" style="1" customWidth="1"/>
    <col min="6394" max="6394" width="23.08984375" style="1" bestFit="1" customWidth="1"/>
    <col min="6395" max="6395" width="26.54296875" style="1" customWidth="1"/>
    <col min="6396" max="6396" width="17.08984375" style="1" customWidth="1"/>
    <col min="6397" max="6640" width="8.90625" style="1"/>
    <col min="6641" max="6641" width="9.6328125" style="1" customWidth="1"/>
    <col min="6642" max="6642" width="47.36328125" style="1" customWidth="1"/>
    <col min="6643" max="6643" width="10.08984375" style="1" customWidth="1"/>
    <col min="6644" max="6644" width="6.6328125" style="1" customWidth="1"/>
    <col min="6645" max="6645" width="22.453125" style="1" customWidth="1"/>
    <col min="6646" max="6646" width="25.36328125" style="1" customWidth="1"/>
    <col min="6647" max="6647" width="31.90625" style="1" customWidth="1"/>
    <col min="6648" max="6648" width="33.54296875" style="1" customWidth="1"/>
    <col min="6649" max="6649" width="24.90625" style="1" customWidth="1"/>
    <col min="6650" max="6650" width="23.08984375" style="1" bestFit="1" customWidth="1"/>
    <col min="6651" max="6651" width="26.54296875" style="1" customWidth="1"/>
    <col min="6652" max="6652" width="17.08984375" style="1" customWidth="1"/>
    <col min="6653" max="6896" width="8.90625" style="1"/>
    <col min="6897" max="6897" width="9.6328125" style="1" customWidth="1"/>
    <col min="6898" max="6898" width="47.36328125" style="1" customWidth="1"/>
    <col min="6899" max="6899" width="10.08984375" style="1" customWidth="1"/>
    <col min="6900" max="6900" width="6.6328125" style="1" customWidth="1"/>
    <col min="6901" max="6901" width="22.453125" style="1" customWidth="1"/>
    <col min="6902" max="6902" width="25.36328125" style="1" customWidth="1"/>
    <col min="6903" max="6903" width="31.90625" style="1" customWidth="1"/>
    <col min="6904" max="6904" width="33.54296875" style="1" customWidth="1"/>
    <col min="6905" max="6905" width="24.90625" style="1" customWidth="1"/>
    <col min="6906" max="6906" width="23.08984375" style="1" bestFit="1" customWidth="1"/>
    <col min="6907" max="6907" width="26.54296875" style="1" customWidth="1"/>
    <col min="6908" max="6908" width="17.08984375" style="1" customWidth="1"/>
    <col min="6909" max="7152" width="8.90625" style="1"/>
    <col min="7153" max="7153" width="9.6328125" style="1" customWidth="1"/>
    <col min="7154" max="7154" width="47.36328125" style="1" customWidth="1"/>
    <col min="7155" max="7155" width="10.08984375" style="1" customWidth="1"/>
    <col min="7156" max="7156" width="6.6328125" style="1" customWidth="1"/>
    <col min="7157" max="7157" width="22.453125" style="1" customWidth="1"/>
    <col min="7158" max="7158" width="25.36328125" style="1" customWidth="1"/>
    <col min="7159" max="7159" width="31.90625" style="1" customWidth="1"/>
    <col min="7160" max="7160" width="33.54296875" style="1" customWidth="1"/>
    <col min="7161" max="7161" width="24.90625" style="1" customWidth="1"/>
    <col min="7162" max="7162" width="23.08984375" style="1" bestFit="1" customWidth="1"/>
    <col min="7163" max="7163" width="26.54296875" style="1" customWidth="1"/>
    <col min="7164" max="7164" width="17.08984375" style="1" customWidth="1"/>
    <col min="7165" max="7408" width="8.90625" style="1"/>
    <col min="7409" max="7409" width="9.6328125" style="1" customWidth="1"/>
    <col min="7410" max="7410" width="47.36328125" style="1" customWidth="1"/>
    <col min="7411" max="7411" width="10.08984375" style="1" customWidth="1"/>
    <col min="7412" max="7412" width="6.6328125" style="1" customWidth="1"/>
    <col min="7413" max="7413" width="22.453125" style="1" customWidth="1"/>
    <col min="7414" max="7414" width="25.36328125" style="1" customWidth="1"/>
    <col min="7415" max="7415" width="31.90625" style="1" customWidth="1"/>
    <col min="7416" max="7416" width="33.54296875" style="1" customWidth="1"/>
    <col min="7417" max="7417" width="24.90625" style="1" customWidth="1"/>
    <col min="7418" max="7418" width="23.08984375" style="1" bestFit="1" customWidth="1"/>
    <col min="7419" max="7419" width="26.54296875" style="1" customWidth="1"/>
    <col min="7420" max="7420" width="17.08984375" style="1" customWidth="1"/>
    <col min="7421" max="7664" width="8.90625" style="1"/>
    <col min="7665" max="7665" width="9.6328125" style="1" customWidth="1"/>
    <col min="7666" max="7666" width="47.36328125" style="1" customWidth="1"/>
    <col min="7667" max="7667" width="10.08984375" style="1" customWidth="1"/>
    <col min="7668" max="7668" width="6.6328125" style="1" customWidth="1"/>
    <col min="7669" max="7669" width="22.453125" style="1" customWidth="1"/>
    <col min="7670" max="7670" width="25.36328125" style="1" customWidth="1"/>
    <col min="7671" max="7671" width="31.90625" style="1" customWidth="1"/>
    <col min="7672" max="7672" width="33.54296875" style="1" customWidth="1"/>
    <col min="7673" max="7673" width="24.90625" style="1" customWidth="1"/>
    <col min="7674" max="7674" width="23.08984375" style="1" bestFit="1" customWidth="1"/>
    <col min="7675" max="7675" width="26.54296875" style="1" customWidth="1"/>
    <col min="7676" max="7676" width="17.08984375" style="1" customWidth="1"/>
    <col min="7677" max="7920" width="8.90625" style="1"/>
    <col min="7921" max="7921" width="9.6328125" style="1" customWidth="1"/>
    <col min="7922" max="7922" width="47.36328125" style="1" customWidth="1"/>
    <col min="7923" max="7923" width="10.08984375" style="1" customWidth="1"/>
    <col min="7924" max="7924" width="6.6328125" style="1" customWidth="1"/>
    <col min="7925" max="7925" width="22.453125" style="1" customWidth="1"/>
    <col min="7926" max="7926" width="25.36328125" style="1" customWidth="1"/>
    <col min="7927" max="7927" width="31.90625" style="1" customWidth="1"/>
    <col min="7928" max="7928" width="33.54296875" style="1" customWidth="1"/>
    <col min="7929" max="7929" width="24.90625" style="1" customWidth="1"/>
    <col min="7930" max="7930" width="23.08984375" style="1" bestFit="1" customWidth="1"/>
    <col min="7931" max="7931" width="26.54296875" style="1" customWidth="1"/>
    <col min="7932" max="7932" width="17.08984375" style="1" customWidth="1"/>
    <col min="7933" max="8176" width="8.90625" style="1"/>
    <col min="8177" max="8177" width="9.6328125" style="1" customWidth="1"/>
    <col min="8178" max="8178" width="47.36328125" style="1" customWidth="1"/>
    <col min="8179" max="8179" width="10.08984375" style="1" customWidth="1"/>
    <col min="8180" max="8180" width="6.6328125" style="1" customWidth="1"/>
    <col min="8181" max="8181" width="22.453125" style="1" customWidth="1"/>
    <col min="8182" max="8182" width="25.36328125" style="1" customWidth="1"/>
    <col min="8183" max="8183" width="31.90625" style="1" customWidth="1"/>
    <col min="8184" max="8184" width="33.54296875" style="1" customWidth="1"/>
    <col min="8185" max="8185" width="24.90625" style="1" customWidth="1"/>
    <col min="8186" max="8186" width="23.08984375" style="1" bestFit="1" customWidth="1"/>
    <col min="8187" max="8187" width="26.54296875" style="1" customWidth="1"/>
    <col min="8188" max="8188" width="17.08984375" style="1" customWidth="1"/>
    <col min="8189" max="8432" width="8.90625" style="1"/>
    <col min="8433" max="8433" width="9.6328125" style="1" customWidth="1"/>
    <col min="8434" max="8434" width="47.36328125" style="1" customWidth="1"/>
    <col min="8435" max="8435" width="10.08984375" style="1" customWidth="1"/>
    <col min="8436" max="8436" width="6.6328125" style="1" customWidth="1"/>
    <col min="8437" max="8437" width="22.453125" style="1" customWidth="1"/>
    <col min="8438" max="8438" width="25.36328125" style="1" customWidth="1"/>
    <col min="8439" max="8439" width="31.90625" style="1" customWidth="1"/>
    <col min="8440" max="8440" width="33.54296875" style="1" customWidth="1"/>
    <col min="8441" max="8441" width="24.90625" style="1" customWidth="1"/>
    <col min="8442" max="8442" width="23.08984375" style="1" bestFit="1" customWidth="1"/>
    <col min="8443" max="8443" width="26.54296875" style="1" customWidth="1"/>
    <col min="8444" max="8444" width="17.08984375" style="1" customWidth="1"/>
    <col min="8445" max="8688" width="8.90625" style="1"/>
    <col min="8689" max="8689" width="9.6328125" style="1" customWidth="1"/>
    <col min="8690" max="8690" width="47.36328125" style="1" customWidth="1"/>
    <col min="8691" max="8691" width="10.08984375" style="1" customWidth="1"/>
    <col min="8692" max="8692" width="6.6328125" style="1" customWidth="1"/>
    <col min="8693" max="8693" width="22.453125" style="1" customWidth="1"/>
    <col min="8694" max="8694" width="25.36328125" style="1" customWidth="1"/>
    <col min="8695" max="8695" width="31.90625" style="1" customWidth="1"/>
    <col min="8696" max="8696" width="33.54296875" style="1" customWidth="1"/>
    <col min="8697" max="8697" width="24.90625" style="1" customWidth="1"/>
    <col min="8698" max="8698" width="23.08984375" style="1" bestFit="1" customWidth="1"/>
    <col min="8699" max="8699" width="26.54296875" style="1" customWidth="1"/>
    <col min="8700" max="8700" width="17.08984375" style="1" customWidth="1"/>
    <col min="8701" max="8944" width="8.90625" style="1"/>
    <col min="8945" max="8945" width="9.6328125" style="1" customWidth="1"/>
    <col min="8946" max="8946" width="47.36328125" style="1" customWidth="1"/>
    <col min="8947" max="8947" width="10.08984375" style="1" customWidth="1"/>
    <col min="8948" max="8948" width="6.6328125" style="1" customWidth="1"/>
    <col min="8949" max="8949" width="22.453125" style="1" customWidth="1"/>
    <col min="8950" max="8950" width="25.36328125" style="1" customWidth="1"/>
    <col min="8951" max="8951" width="31.90625" style="1" customWidth="1"/>
    <col min="8952" max="8952" width="33.54296875" style="1" customWidth="1"/>
    <col min="8953" max="8953" width="24.90625" style="1" customWidth="1"/>
    <col min="8954" max="8954" width="23.08984375" style="1" bestFit="1" customWidth="1"/>
    <col min="8955" max="8955" width="26.54296875" style="1" customWidth="1"/>
    <col min="8956" max="8956" width="17.08984375" style="1" customWidth="1"/>
    <col min="8957" max="9200" width="8.90625" style="1"/>
    <col min="9201" max="9201" width="9.6328125" style="1" customWidth="1"/>
    <col min="9202" max="9202" width="47.36328125" style="1" customWidth="1"/>
    <col min="9203" max="9203" width="10.08984375" style="1" customWidth="1"/>
    <col min="9204" max="9204" width="6.6328125" style="1" customWidth="1"/>
    <col min="9205" max="9205" width="22.453125" style="1" customWidth="1"/>
    <col min="9206" max="9206" width="25.36328125" style="1" customWidth="1"/>
    <col min="9207" max="9207" width="31.90625" style="1" customWidth="1"/>
    <col min="9208" max="9208" width="33.54296875" style="1" customWidth="1"/>
    <col min="9209" max="9209" width="24.90625" style="1" customWidth="1"/>
    <col min="9210" max="9210" width="23.08984375" style="1" bestFit="1" customWidth="1"/>
    <col min="9211" max="9211" width="26.54296875" style="1" customWidth="1"/>
    <col min="9212" max="9212" width="17.08984375" style="1" customWidth="1"/>
    <col min="9213" max="9456" width="8.90625" style="1"/>
    <col min="9457" max="9457" width="9.6328125" style="1" customWidth="1"/>
    <col min="9458" max="9458" width="47.36328125" style="1" customWidth="1"/>
    <col min="9459" max="9459" width="10.08984375" style="1" customWidth="1"/>
    <col min="9460" max="9460" width="6.6328125" style="1" customWidth="1"/>
    <col min="9461" max="9461" width="22.453125" style="1" customWidth="1"/>
    <col min="9462" max="9462" width="25.36328125" style="1" customWidth="1"/>
    <col min="9463" max="9463" width="31.90625" style="1" customWidth="1"/>
    <col min="9464" max="9464" width="33.54296875" style="1" customWidth="1"/>
    <col min="9465" max="9465" width="24.90625" style="1" customWidth="1"/>
    <col min="9466" max="9466" width="23.08984375" style="1" bestFit="1" customWidth="1"/>
    <col min="9467" max="9467" width="26.54296875" style="1" customWidth="1"/>
    <col min="9468" max="9468" width="17.08984375" style="1" customWidth="1"/>
    <col min="9469" max="9712" width="8.90625" style="1"/>
    <col min="9713" max="9713" width="9.6328125" style="1" customWidth="1"/>
    <col min="9714" max="9714" width="47.36328125" style="1" customWidth="1"/>
    <col min="9715" max="9715" width="10.08984375" style="1" customWidth="1"/>
    <col min="9716" max="9716" width="6.6328125" style="1" customWidth="1"/>
    <col min="9717" max="9717" width="22.453125" style="1" customWidth="1"/>
    <col min="9718" max="9718" width="25.36328125" style="1" customWidth="1"/>
    <col min="9719" max="9719" width="31.90625" style="1" customWidth="1"/>
    <col min="9720" max="9720" width="33.54296875" style="1" customWidth="1"/>
    <col min="9721" max="9721" width="24.90625" style="1" customWidth="1"/>
    <col min="9722" max="9722" width="23.08984375" style="1" bestFit="1" customWidth="1"/>
    <col min="9723" max="9723" width="26.54296875" style="1" customWidth="1"/>
    <col min="9724" max="9724" width="17.08984375" style="1" customWidth="1"/>
    <col min="9725" max="9968" width="8.90625" style="1"/>
    <col min="9969" max="9969" width="9.6328125" style="1" customWidth="1"/>
    <col min="9970" max="9970" width="47.36328125" style="1" customWidth="1"/>
    <col min="9971" max="9971" width="10.08984375" style="1" customWidth="1"/>
    <col min="9972" max="9972" width="6.6328125" style="1" customWidth="1"/>
    <col min="9973" max="9973" width="22.453125" style="1" customWidth="1"/>
    <col min="9974" max="9974" width="25.36328125" style="1" customWidth="1"/>
    <col min="9975" max="9975" width="31.90625" style="1" customWidth="1"/>
    <col min="9976" max="9976" width="33.54296875" style="1" customWidth="1"/>
    <col min="9977" max="9977" width="24.90625" style="1" customWidth="1"/>
    <col min="9978" max="9978" width="23.08984375" style="1" bestFit="1" customWidth="1"/>
    <col min="9979" max="9979" width="26.54296875" style="1" customWidth="1"/>
    <col min="9980" max="9980" width="17.08984375" style="1" customWidth="1"/>
    <col min="9981" max="10224" width="8.90625" style="1"/>
    <col min="10225" max="10225" width="9.6328125" style="1" customWidth="1"/>
    <col min="10226" max="10226" width="47.36328125" style="1" customWidth="1"/>
    <col min="10227" max="10227" width="10.08984375" style="1" customWidth="1"/>
    <col min="10228" max="10228" width="6.6328125" style="1" customWidth="1"/>
    <col min="10229" max="10229" width="22.453125" style="1" customWidth="1"/>
    <col min="10230" max="10230" width="25.36328125" style="1" customWidth="1"/>
    <col min="10231" max="10231" width="31.90625" style="1" customWidth="1"/>
    <col min="10232" max="10232" width="33.54296875" style="1" customWidth="1"/>
    <col min="10233" max="10233" width="24.90625" style="1" customWidth="1"/>
    <col min="10234" max="10234" width="23.08984375" style="1" bestFit="1" customWidth="1"/>
    <col min="10235" max="10235" width="26.54296875" style="1" customWidth="1"/>
    <col min="10236" max="10236" width="17.08984375" style="1" customWidth="1"/>
    <col min="10237" max="10480" width="8.90625" style="1"/>
    <col min="10481" max="10481" width="9.6328125" style="1" customWidth="1"/>
    <col min="10482" max="10482" width="47.36328125" style="1" customWidth="1"/>
    <col min="10483" max="10483" width="10.08984375" style="1" customWidth="1"/>
    <col min="10484" max="10484" width="6.6328125" style="1" customWidth="1"/>
    <col min="10485" max="10485" width="22.453125" style="1" customWidth="1"/>
    <col min="10486" max="10486" width="25.36328125" style="1" customWidth="1"/>
    <col min="10487" max="10487" width="31.90625" style="1" customWidth="1"/>
    <col min="10488" max="10488" width="33.54296875" style="1" customWidth="1"/>
    <col min="10489" max="10489" width="24.90625" style="1" customWidth="1"/>
    <col min="10490" max="10490" width="23.08984375" style="1" bestFit="1" customWidth="1"/>
    <col min="10491" max="10491" width="26.54296875" style="1" customWidth="1"/>
    <col min="10492" max="10492" width="17.08984375" style="1" customWidth="1"/>
    <col min="10493" max="10736" width="8.90625" style="1"/>
    <col min="10737" max="10737" width="9.6328125" style="1" customWidth="1"/>
    <col min="10738" max="10738" width="47.36328125" style="1" customWidth="1"/>
    <col min="10739" max="10739" width="10.08984375" style="1" customWidth="1"/>
    <col min="10740" max="10740" width="6.6328125" style="1" customWidth="1"/>
    <col min="10741" max="10741" width="22.453125" style="1" customWidth="1"/>
    <col min="10742" max="10742" width="25.36328125" style="1" customWidth="1"/>
    <col min="10743" max="10743" width="31.90625" style="1" customWidth="1"/>
    <col min="10744" max="10744" width="33.54296875" style="1" customWidth="1"/>
    <col min="10745" max="10745" width="24.90625" style="1" customWidth="1"/>
    <col min="10746" max="10746" width="23.08984375" style="1" bestFit="1" customWidth="1"/>
    <col min="10747" max="10747" width="26.54296875" style="1" customWidth="1"/>
    <col min="10748" max="10748" width="17.08984375" style="1" customWidth="1"/>
    <col min="10749" max="10992" width="8.90625" style="1"/>
    <col min="10993" max="10993" width="9.6328125" style="1" customWidth="1"/>
    <col min="10994" max="10994" width="47.36328125" style="1" customWidth="1"/>
    <col min="10995" max="10995" width="10.08984375" style="1" customWidth="1"/>
    <col min="10996" max="10996" width="6.6328125" style="1" customWidth="1"/>
    <col min="10997" max="10997" width="22.453125" style="1" customWidth="1"/>
    <col min="10998" max="10998" width="25.36328125" style="1" customWidth="1"/>
    <col min="10999" max="10999" width="31.90625" style="1" customWidth="1"/>
    <col min="11000" max="11000" width="33.54296875" style="1" customWidth="1"/>
    <col min="11001" max="11001" width="24.90625" style="1" customWidth="1"/>
    <col min="11002" max="11002" width="23.08984375" style="1" bestFit="1" customWidth="1"/>
    <col min="11003" max="11003" width="26.54296875" style="1" customWidth="1"/>
    <col min="11004" max="11004" width="17.08984375" style="1" customWidth="1"/>
    <col min="11005" max="11248" width="8.90625" style="1"/>
    <col min="11249" max="11249" width="9.6328125" style="1" customWidth="1"/>
    <col min="11250" max="11250" width="47.36328125" style="1" customWidth="1"/>
    <col min="11251" max="11251" width="10.08984375" style="1" customWidth="1"/>
    <col min="11252" max="11252" width="6.6328125" style="1" customWidth="1"/>
    <col min="11253" max="11253" width="22.453125" style="1" customWidth="1"/>
    <col min="11254" max="11254" width="25.36328125" style="1" customWidth="1"/>
    <col min="11255" max="11255" width="31.90625" style="1" customWidth="1"/>
    <col min="11256" max="11256" width="33.54296875" style="1" customWidth="1"/>
    <col min="11257" max="11257" width="24.90625" style="1" customWidth="1"/>
    <col min="11258" max="11258" width="23.08984375" style="1" bestFit="1" customWidth="1"/>
    <col min="11259" max="11259" width="26.54296875" style="1" customWidth="1"/>
    <col min="11260" max="11260" width="17.08984375" style="1" customWidth="1"/>
    <col min="11261" max="11504" width="8.90625" style="1"/>
    <col min="11505" max="11505" width="9.6328125" style="1" customWidth="1"/>
    <col min="11506" max="11506" width="47.36328125" style="1" customWidth="1"/>
    <col min="11507" max="11507" width="10.08984375" style="1" customWidth="1"/>
    <col min="11508" max="11508" width="6.6328125" style="1" customWidth="1"/>
    <col min="11509" max="11509" width="22.453125" style="1" customWidth="1"/>
    <col min="11510" max="11510" width="25.36328125" style="1" customWidth="1"/>
    <col min="11511" max="11511" width="31.90625" style="1" customWidth="1"/>
    <col min="11512" max="11512" width="33.54296875" style="1" customWidth="1"/>
    <col min="11513" max="11513" width="24.90625" style="1" customWidth="1"/>
    <col min="11514" max="11514" width="23.08984375" style="1" bestFit="1" customWidth="1"/>
    <col min="11515" max="11515" width="26.54296875" style="1" customWidth="1"/>
    <col min="11516" max="11516" width="17.08984375" style="1" customWidth="1"/>
    <col min="11517" max="11760" width="8.90625" style="1"/>
    <col min="11761" max="11761" width="9.6328125" style="1" customWidth="1"/>
    <col min="11762" max="11762" width="47.36328125" style="1" customWidth="1"/>
    <col min="11763" max="11763" width="10.08984375" style="1" customWidth="1"/>
    <col min="11764" max="11764" width="6.6328125" style="1" customWidth="1"/>
    <col min="11765" max="11765" width="22.453125" style="1" customWidth="1"/>
    <col min="11766" max="11766" width="25.36328125" style="1" customWidth="1"/>
    <col min="11767" max="11767" width="31.90625" style="1" customWidth="1"/>
    <col min="11768" max="11768" width="33.54296875" style="1" customWidth="1"/>
    <col min="11769" max="11769" width="24.90625" style="1" customWidth="1"/>
    <col min="11770" max="11770" width="23.08984375" style="1" bestFit="1" customWidth="1"/>
    <col min="11771" max="11771" width="26.54296875" style="1" customWidth="1"/>
    <col min="11772" max="11772" width="17.08984375" style="1" customWidth="1"/>
    <col min="11773" max="12016" width="8.90625" style="1"/>
    <col min="12017" max="12017" width="9.6328125" style="1" customWidth="1"/>
    <col min="12018" max="12018" width="47.36328125" style="1" customWidth="1"/>
    <col min="12019" max="12019" width="10.08984375" style="1" customWidth="1"/>
    <col min="12020" max="12020" width="6.6328125" style="1" customWidth="1"/>
    <col min="12021" max="12021" width="22.453125" style="1" customWidth="1"/>
    <col min="12022" max="12022" width="25.36328125" style="1" customWidth="1"/>
    <col min="12023" max="12023" width="31.90625" style="1" customWidth="1"/>
    <col min="12024" max="12024" width="33.54296875" style="1" customWidth="1"/>
    <col min="12025" max="12025" width="24.90625" style="1" customWidth="1"/>
    <col min="12026" max="12026" width="23.08984375" style="1" bestFit="1" customWidth="1"/>
    <col min="12027" max="12027" width="26.54296875" style="1" customWidth="1"/>
    <col min="12028" max="12028" width="17.08984375" style="1" customWidth="1"/>
    <col min="12029" max="12272" width="8.90625" style="1"/>
    <col min="12273" max="12273" width="9.6328125" style="1" customWidth="1"/>
    <col min="12274" max="12274" width="47.36328125" style="1" customWidth="1"/>
    <col min="12275" max="12275" width="10.08984375" style="1" customWidth="1"/>
    <col min="12276" max="12276" width="6.6328125" style="1" customWidth="1"/>
    <col min="12277" max="12277" width="22.453125" style="1" customWidth="1"/>
    <col min="12278" max="12278" width="25.36328125" style="1" customWidth="1"/>
    <col min="12279" max="12279" width="31.90625" style="1" customWidth="1"/>
    <col min="12280" max="12280" width="33.54296875" style="1" customWidth="1"/>
    <col min="12281" max="12281" width="24.90625" style="1" customWidth="1"/>
    <col min="12282" max="12282" width="23.08984375" style="1" bestFit="1" customWidth="1"/>
    <col min="12283" max="12283" width="26.54296875" style="1" customWidth="1"/>
    <col min="12284" max="12284" width="17.08984375" style="1" customWidth="1"/>
    <col min="12285" max="12528" width="8.90625" style="1"/>
    <col min="12529" max="12529" width="9.6328125" style="1" customWidth="1"/>
    <col min="12530" max="12530" width="47.36328125" style="1" customWidth="1"/>
    <col min="12531" max="12531" width="10.08984375" style="1" customWidth="1"/>
    <col min="12532" max="12532" width="6.6328125" style="1" customWidth="1"/>
    <col min="12533" max="12533" width="22.453125" style="1" customWidth="1"/>
    <col min="12534" max="12534" width="25.36328125" style="1" customWidth="1"/>
    <col min="12535" max="12535" width="31.90625" style="1" customWidth="1"/>
    <col min="12536" max="12536" width="33.54296875" style="1" customWidth="1"/>
    <col min="12537" max="12537" width="24.90625" style="1" customWidth="1"/>
    <col min="12538" max="12538" width="23.08984375" style="1" bestFit="1" customWidth="1"/>
    <col min="12539" max="12539" width="26.54296875" style="1" customWidth="1"/>
    <col min="12540" max="12540" width="17.08984375" style="1" customWidth="1"/>
    <col min="12541" max="12784" width="8.90625" style="1"/>
    <col min="12785" max="12785" width="9.6328125" style="1" customWidth="1"/>
    <col min="12786" max="12786" width="47.36328125" style="1" customWidth="1"/>
    <col min="12787" max="12787" width="10.08984375" style="1" customWidth="1"/>
    <col min="12788" max="12788" width="6.6328125" style="1" customWidth="1"/>
    <col min="12789" max="12789" width="22.453125" style="1" customWidth="1"/>
    <col min="12790" max="12790" width="25.36328125" style="1" customWidth="1"/>
    <col min="12791" max="12791" width="31.90625" style="1" customWidth="1"/>
    <col min="12792" max="12792" width="33.54296875" style="1" customWidth="1"/>
    <col min="12793" max="12793" width="24.90625" style="1" customWidth="1"/>
    <col min="12794" max="12794" width="23.08984375" style="1" bestFit="1" customWidth="1"/>
    <col min="12795" max="12795" width="26.54296875" style="1" customWidth="1"/>
    <col min="12796" max="12796" width="17.08984375" style="1" customWidth="1"/>
    <col min="12797" max="13040" width="8.90625" style="1"/>
    <col min="13041" max="13041" width="9.6328125" style="1" customWidth="1"/>
    <col min="13042" max="13042" width="47.36328125" style="1" customWidth="1"/>
    <col min="13043" max="13043" width="10.08984375" style="1" customWidth="1"/>
    <col min="13044" max="13044" width="6.6328125" style="1" customWidth="1"/>
    <col min="13045" max="13045" width="22.453125" style="1" customWidth="1"/>
    <col min="13046" max="13046" width="25.36328125" style="1" customWidth="1"/>
    <col min="13047" max="13047" width="31.90625" style="1" customWidth="1"/>
    <col min="13048" max="13048" width="33.54296875" style="1" customWidth="1"/>
    <col min="13049" max="13049" width="24.90625" style="1" customWidth="1"/>
    <col min="13050" max="13050" width="23.08984375" style="1" bestFit="1" customWidth="1"/>
    <col min="13051" max="13051" width="26.54296875" style="1" customWidth="1"/>
    <col min="13052" max="13052" width="17.08984375" style="1" customWidth="1"/>
    <col min="13053" max="13296" width="8.90625" style="1"/>
    <col min="13297" max="13297" width="9.6328125" style="1" customWidth="1"/>
    <col min="13298" max="13298" width="47.36328125" style="1" customWidth="1"/>
    <col min="13299" max="13299" width="10.08984375" style="1" customWidth="1"/>
    <col min="13300" max="13300" width="6.6328125" style="1" customWidth="1"/>
    <col min="13301" max="13301" width="22.453125" style="1" customWidth="1"/>
    <col min="13302" max="13302" width="25.36328125" style="1" customWidth="1"/>
    <col min="13303" max="13303" width="31.90625" style="1" customWidth="1"/>
    <col min="13304" max="13304" width="33.54296875" style="1" customWidth="1"/>
    <col min="13305" max="13305" width="24.90625" style="1" customWidth="1"/>
    <col min="13306" max="13306" width="23.08984375" style="1" bestFit="1" customWidth="1"/>
    <col min="13307" max="13307" width="26.54296875" style="1" customWidth="1"/>
    <col min="13308" max="13308" width="17.08984375" style="1" customWidth="1"/>
    <col min="13309" max="13552" width="8.90625" style="1"/>
    <col min="13553" max="13553" width="9.6328125" style="1" customWidth="1"/>
    <col min="13554" max="13554" width="47.36328125" style="1" customWidth="1"/>
    <col min="13555" max="13555" width="10.08984375" style="1" customWidth="1"/>
    <col min="13556" max="13556" width="6.6328125" style="1" customWidth="1"/>
    <col min="13557" max="13557" width="22.453125" style="1" customWidth="1"/>
    <col min="13558" max="13558" width="25.36328125" style="1" customWidth="1"/>
    <col min="13559" max="13559" width="31.90625" style="1" customWidth="1"/>
    <col min="13560" max="13560" width="33.54296875" style="1" customWidth="1"/>
    <col min="13561" max="13561" width="24.90625" style="1" customWidth="1"/>
    <col min="13562" max="13562" width="23.08984375" style="1" bestFit="1" customWidth="1"/>
    <col min="13563" max="13563" width="26.54296875" style="1" customWidth="1"/>
    <col min="13564" max="13564" width="17.08984375" style="1" customWidth="1"/>
    <col min="13565" max="13808" width="8.90625" style="1"/>
    <col min="13809" max="13809" width="9.6328125" style="1" customWidth="1"/>
    <col min="13810" max="13810" width="47.36328125" style="1" customWidth="1"/>
    <col min="13811" max="13811" width="10.08984375" style="1" customWidth="1"/>
    <col min="13812" max="13812" width="6.6328125" style="1" customWidth="1"/>
    <col min="13813" max="13813" width="22.453125" style="1" customWidth="1"/>
    <col min="13814" max="13814" width="25.36328125" style="1" customWidth="1"/>
    <col min="13815" max="13815" width="31.90625" style="1" customWidth="1"/>
    <col min="13816" max="13816" width="33.54296875" style="1" customWidth="1"/>
    <col min="13817" max="13817" width="24.90625" style="1" customWidth="1"/>
    <col min="13818" max="13818" width="23.08984375" style="1" bestFit="1" customWidth="1"/>
    <col min="13819" max="13819" width="26.54296875" style="1" customWidth="1"/>
    <col min="13820" max="13820" width="17.08984375" style="1" customWidth="1"/>
    <col min="13821" max="14064" width="8.90625" style="1"/>
    <col min="14065" max="14065" width="9.6328125" style="1" customWidth="1"/>
    <col min="14066" max="14066" width="47.36328125" style="1" customWidth="1"/>
    <col min="14067" max="14067" width="10.08984375" style="1" customWidth="1"/>
    <col min="14068" max="14068" width="6.6328125" style="1" customWidth="1"/>
    <col min="14069" max="14069" width="22.453125" style="1" customWidth="1"/>
    <col min="14070" max="14070" width="25.36328125" style="1" customWidth="1"/>
    <col min="14071" max="14071" width="31.90625" style="1" customWidth="1"/>
    <col min="14072" max="14072" width="33.54296875" style="1" customWidth="1"/>
    <col min="14073" max="14073" width="24.90625" style="1" customWidth="1"/>
    <col min="14074" max="14074" width="23.08984375" style="1" bestFit="1" customWidth="1"/>
    <col min="14075" max="14075" width="26.54296875" style="1" customWidth="1"/>
    <col min="14076" max="14076" width="17.08984375" style="1" customWidth="1"/>
    <col min="14077" max="14320" width="8.90625" style="1"/>
    <col min="14321" max="14321" width="9.6328125" style="1" customWidth="1"/>
    <col min="14322" max="14322" width="47.36328125" style="1" customWidth="1"/>
    <col min="14323" max="14323" width="10.08984375" style="1" customWidth="1"/>
    <col min="14324" max="14324" width="6.6328125" style="1" customWidth="1"/>
    <col min="14325" max="14325" width="22.453125" style="1" customWidth="1"/>
    <col min="14326" max="14326" width="25.36328125" style="1" customWidth="1"/>
    <col min="14327" max="14327" width="31.90625" style="1" customWidth="1"/>
    <col min="14328" max="14328" width="33.54296875" style="1" customWidth="1"/>
    <col min="14329" max="14329" width="24.90625" style="1" customWidth="1"/>
    <col min="14330" max="14330" width="23.08984375" style="1" bestFit="1" customWidth="1"/>
    <col min="14331" max="14331" width="26.54296875" style="1" customWidth="1"/>
    <col min="14332" max="14332" width="17.08984375" style="1" customWidth="1"/>
    <col min="14333" max="14576" width="8.90625" style="1"/>
    <col min="14577" max="14577" width="9.6328125" style="1" customWidth="1"/>
    <col min="14578" max="14578" width="47.36328125" style="1" customWidth="1"/>
    <col min="14579" max="14579" width="10.08984375" style="1" customWidth="1"/>
    <col min="14580" max="14580" width="6.6328125" style="1" customWidth="1"/>
    <col min="14581" max="14581" width="22.453125" style="1" customWidth="1"/>
    <col min="14582" max="14582" width="25.36328125" style="1" customWidth="1"/>
    <col min="14583" max="14583" width="31.90625" style="1" customWidth="1"/>
    <col min="14584" max="14584" width="33.54296875" style="1" customWidth="1"/>
    <col min="14585" max="14585" width="24.90625" style="1" customWidth="1"/>
    <col min="14586" max="14586" width="23.08984375" style="1" bestFit="1" customWidth="1"/>
    <col min="14587" max="14587" width="26.54296875" style="1" customWidth="1"/>
    <col min="14588" max="14588" width="17.08984375" style="1" customWidth="1"/>
    <col min="14589" max="14832" width="8.90625" style="1"/>
    <col min="14833" max="14833" width="9.6328125" style="1" customWidth="1"/>
    <col min="14834" max="14834" width="47.36328125" style="1" customWidth="1"/>
    <col min="14835" max="14835" width="10.08984375" style="1" customWidth="1"/>
    <col min="14836" max="14836" width="6.6328125" style="1" customWidth="1"/>
    <col min="14837" max="14837" width="22.453125" style="1" customWidth="1"/>
    <col min="14838" max="14838" width="25.36328125" style="1" customWidth="1"/>
    <col min="14839" max="14839" width="31.90625" style="1" customWidth="1"/>
    <col min="14840" max="14840" width="33.54296875" style="1" customWidth="1"/>
    <col min="14841" max="14841" width="24.90625" style="1" customWidth="1"/>
    <col min="14842" max="14842" width="23.08984375" style="1" bestFit="1" customWidth="1"/>
    <col min="14843" max="14843" width="26.54296875" style="1" customWidth="1"/>
    <col min="14844" max="14844" width="17.08984375" style="1" customWidth="1"/>
    <col min="14845" max="15088" width="8.90625" style="1"/>
    <col min="15089" max="15089" width="9.6328125" style="1" customWidth="1"/>
    <col min="15090" max="15090" width="47.36328125" style="1" customWidth="1"/>
    <col min="15091" max="15091" width="10.08984375" style="1" customWidth="1"/>
    <col min="15092" max="15092" width="6.6328125" style="1" customWidth="1"/>
    <col min="15093" max="15093" width="22.453125" style="1" customWidth="1"/>
    <col min="15094" max="15094" width="25.36328125" style="1" customWidth="1"/>
    <col min="15095" max="15095" width="31.90625" style="1" customWidth="1"/>
    <col min="15096" max="15096" width="33.54296875" style="1" customWidth="1"/>
    <col min="15097" max="15097" width="24.90625" style="1" customWidth="1"/>
    <col min="15098" max="15098" width="23.08984375" style="1" bestFit="1" customWidth="1"/>
    <col min="15099" max="15099" width="26.54296875" style="1" customWidth="1"/>
    <col min="15100" max="15100" width="17.08984375" style="1" customWidth="1"/>
    <col min="15101" max="15344" width="8.90625" style="1"/>
    <col min="15345" max="15345" width="9.6328125" style="1" customWidth="1"/>
    <col min="15346" max="15346" width="47.36328125" style="1" customWidth="1"/>
    <col min="15347" max="15347" width="10.08984375" style="1" customWidth="1"/>
    <col min="15348" max="15348" width="6.6328125" style="1" customWidth="1"/>
    <col min="15349" max="15349" width="22.453125" style="1" customWidth="1"/>
    <col min="15350" max="15350" width="25.36328125" style="1" customWidth="1"/>
    <col min="15351" max="15351" width="31.90625" style="1" customWidth="1"/>
    <col min="15352" max="15352" width="33.54296875" style="1" customWidth="1"/>
    <col min="15353" max="15353" width="24.90625" style="1" customWidth="1"/>
    <col min="15354" max="15354" width="23.08984375" style="1" bestFit="1" customWidth="1"/>
    <col min="15355" max="15355" width="26.54296875" style="1" customWidth="1"/>
    <col min="15356" max="15356" width="17.08984375" style="1" customWidth="1"/>
    <col min="15357" max="15600" width="8.90625" style="1"/>
    <col min="15601" max="15601" width="9.6328125" style="1" customWidth="1"/>
    <col min="15602" max="15602" width="47.36328125" style="1" customWidth="1"/>
    <col min="15603" max="15603" width="10.08984375" style="1" customWidth="1"/>
    <col min="15604" max="15604" width="6.6328125" style="1" customWidth="1"/>
    <col min="15605" max="15605" width="22.453125" style="1" customWidth="1"/>
    <col min="15606" max="15606" width="25.36328125" style="1" customWidth="1"/>
    <col min="15607" max="15607" width="31.90625" style="1" customWidth="1"/>
    <col min="15608" max="15608" width="33.54296875" style="1" customWidth="1"/>
    <col min="15609" max="15609" width="24.90625" style="1" customWidth="1"/>
    <col min="15610" max="15610" width="23.08984375" style="1" bestFit="1" customWidth="1"/>
    <col min="15611" max="15611" width="26.54296875" style="1" customWidth="1"/>
    <col min="15612" max="15612" width="17.08984375" style="1" customWidth="1"/>
    <col min="15613" max="15856" width="8.90625" style="1"/>
    <col min="15857" max="15857" width="9.6328125" style="1" customWidth="1"/>
    <col min="15858" max="15858" width="47.36328125" style="1" customWidth="1"/>
    <col min="15859" max="15859" width="10.08984375" style="1" customWidth="1"/>
    <col min="15860" max="15860" width="6.6328125" style="1" customWidth="1"/>
    <col min="15861" max="15861" width="22.453125" style="1" customWidth="1"/>
    <col min="15862" max="15862" width="25.36328125" style="1" customWidth="1"/>
    <col min="15863" max="15863" width="31.90625" style="1" customWidth="1"/>
    <col min="15864" max="15864" width="33.54296875" style="1" customWidth="1"/>
    <col min="15865" max="15865" width="24.90625" style="1" customWidth="1"/>
    <col min="15866" max="15866" width="23.08984375" style="1" bestFit="1" customWidth="1"/>
    <col min="15867" max="15867" width="26.54296875" style="1" customWidth="1"/>
    <col min="15868" max="15868" width="17.08984375" style="1" customWidth="1"/>
    <col min="15869" max="16112" width="8.90625" style="1"/>
    <col min="16113" max="16113" width="9.6328125" style="1" customWidth="1"/>
    <col min="16114" max="16114" width="47.36328125" style="1" customWidth="1"/>
    <col min="16115" max="16115" width="10.08984375" style="1" customWidth="1"/>
    <col min="16116" max="16116" width="6.6328125" style="1" customWidth="1"/>
    <col min="16117" max="16117" width="22.453125" style="1" customWidth="1"/>
    <col min="16118" max="16118" width="25.36328125" style="1" customWidth="1"/>
    <col min="16119" max="16119" width="31.90625" style="1" customWidth="1"/>
    <col min="16120" max="16120" width="33.54296875" style="1" customWidth="1"/>
    <col min="16121" max="16121" width="24.90625" style="1" customWidth="1"/>
    <col min="16122" max="16122" width="23.08984375" style="1" bestFit="1" customWidth="1"/>
    <col min="16123" max="16123" width="26.54296875" style="1" customWidth="1"/>
    <col min="16124" max="16124" width="17.08984375" style="1" customWidth="1"/>
    <col min="16125" max="16384" width="8.90625" style="1"/>
  </cols>
  <sheetData>
    <row r="1" spans="1:5" s="3" customFormat="1" ht="21">
      <c r="A1" s="83" t="s">
        <v>30</v>
      </c>
      <c r="B1" s="10"/>
      <c r="C1" s="10"/>
      <c r="D1" s="11"/>
      <c r="E1" s="12"/>
    </row>
    <row r="2" spans="1:5" s="3" customFormat="1" ht="18.5">
      <c r="A2" s="13" t="s">
        <v>23</v>
      </c>
      <c r="B2" s="14"/>
      <c r="C2" s="14" t="s">
        <v>24</v>
      </c>
      <c r="D2" s="15" t="s">
        <v>187</v>
      </c>
      <c r="E2" s="16"/>
    </row>
    <row r="3" spans="1:5" s="3" customFormat="1" ht="18.5">
      <c r="A3" s="13" t="s">
        <v>25</v>
      </c>
      <c r="B3" s="14"/>
      <c r="C3" s="14" t="s">
        <v>24</v>
      </c>
      <c r="D3" s="15" t="s">
        <v>185</v>
      </c>
      <c r="E3" s="16"/>
    </row>
    <row r="4" spans="1:5" s="3" customFormat="1" ht="15.75" customHeight="1" thickBot="1">
      <c r="A4" s="17" t="s">
        <v>26</v>
      </c>
      <c r="B4" s="18"/>
      <c r="C4" s="18" t="s">
        <v>24</v>
      </c>
      <c r="D4" s="19" t="s">
        <v>186</v>
      </c>
      <c r="E4" s="20"/>
    </row>
    <row r="5" spans="1:5" s="4" customFormat="1" ht="23.25" customHeight="1">
      <c r="A5" s="698" t="s">
        <v>46</v>
      </c>
      <c r="B5" s="700" t="s">
        <v>1</v>
      </c>
      <c r="C5" s="701"/>
      <c r="D5" s="702"/>
      <c r="E5" s="21" t="s">
        <v>28</v>
      </c>
    </row>
    <row r="6" spans="1:5" s="4" customFormat="1" ht="15" customHeight="1" thickBot="1">
      <c r="A6" s="699"/>
      <c r="B6" s="703"/>
      <c r="C6" s="704"/>
      <c r="D6" s="705"/>
      <c r="E6" s="22" t="s">
        <v>29</v>
      </c>
    </row>
    <row r="7" spans="1:5" ht="18.5" thickTop="1">
      <c r="A7" s="23"/>
      <c r="B7" s="76"/>
      <c r="C7" s="24"/>
      <c r="D7" s="25"/>
      <c r="E7" s="26"/>
    </row>
    <row r="8" spans="1:5">
      <c r="A8" s="77" t="str">
        <f>'BOQ (Final Harga Kontrak)'!A11</f>
        <v>I</v>
      </c>
      <c r="B8" s="630" t="str">
        <f>'BOQ (Final Harga Kontrak)'!B11</f>
        <v>PEKERJAAN PERSIAPAN</v>
      </c>
      <c r="C8" s="29"/>
      <c r="D8" s="30"/>
      <c r="E8" s="31">
        <f>'BOQ (Final Harga Kontrak)'!I21</f>
        <v>48550323.416071892</v>
      </c>
    </row>
    <row r="9" spans="1:5">
      <c r="A9" s="77" t="str">
        <f>'BOQ (Final Harga Kontrak)'!A23</f>
        <v>II</v>
      </c>
      <c r="B9" s="630" t="str">
        <f>'BOQ (Final Harga Kontrak)'!B23</f>
        <v>PEKERJAAN TANAH + PONDASI</v>
      </c>
      <c r="C9" s="32"/>
      <c r="D9" s="33"/>
      <c r="E9" s="31">
        <f>'BOQ (Final Harga Kontrak)'!I62</f>
        <v>338915591.32922405</v>
      </c>
    </row>
    <row r="10" spans="1:5">
      <c r="A10" s="77" t="str">
        <f>'BOQ (Final Harga Kontrak)'!A65</f>
        <v>III</v>
      </c>
      <c r="B10" s="630" t="str">
        <f>'BOQ (Final Harga Kontrak)'!B65</f>
        <v>PEKERJAAN BETON</v>
      </c>
      <c r="C10" s="32"/>
      <c r="D10" s="34"/>
      <c r="E10" s="31">
        <f>'BOQ (Final Harga Kontrak)'!I87</f>
        <v>197410130.1200406</v>
      </c>
    </row>
    <row r="11" spans="1:5" s="5" customFormat="1">
      <c r="A11" s="77" t="str">
        <f>'BOQ (Final Harga Kontrak)'!A89</f>
        <v>IV</v>
      </c>
      <c r="B11" s="630" t="str">
        <f>'BOQ (Final Harga Kontrak)'!B89</f>
        <v>PEKERJAAN STRUKTUR BAJA</v>
      </c>
      <c r="C11" s="35"/>
      <c r="D11" s="36"/>
      <c r="E11" s="37">
        <f>'BOQ (Final Harga Kontrak)'!I95</f>
        <v>207282856.66640139</v>
      </c>
    </row>
    <row r="12" spans="1:5" s="5" customFormat="1">
      <c r="A12" s="77" t="str">
        <f>'BOQ (Final Harga Kontrak)'!A97</f>
        <v>V</v>
      </c>
      <c r="B12" s="630" t="str">
        <f>'BOQ (Final Harga Kontrak)'!B97</f>
        <v xml:space="preserve">PEKERJAAN PASANGAN DINDING, LANTAI, PLESTERAN DAN ACIAN </v>
      </c>
      <c r="C12" s="35"/>
      <c r="D12" s="36"/>
      <c r="E12" s="37">
        <f>'BOQ (Final Harga Kontrak)'!I109</f>
        <v>222523706.16769576</v>
      </c>
    </row>
    <row r="13" spans="1:5" s="5" customFormat="1">
      <c r="A13" s="77" t="str">
        <f>'BOQ (Final Harga Kontrak)'!A111</f>
        <v>VI</v>
      </c>
      <c r="B13" s="630" t="str">
        <f>'BOQ (Final Harga Kontrak)'!B111</f>
        <v>PEKERJAAN M &amp; E</v>
      </c>
      <c r="C13" s="35"/>
      <c r="D13" s="36"/>
      <c r="E13" s="37">
        <f>'BOQ (Final Harga Kontrak)'!I116</f>
        <v>14497640.330820104</v>
      </c>
    </row>
    <row r="14" spans="1:5" s="5" customFormat="1">
      <c r="A14" s="77" t="str">
        <f>'BOQ (Final Harga Kontrak)'!A118</f>
        <v>VII</v>
      </c>
      <c r="B14" s="630" t="str">
        <f>'BOQ (Final Harga Kontrak)'!B118</f>
        <v>PEKERJAAN SANITAIR</v>
      </c>
      <c r="C14" s="35"/>
      <c r="D14" s="36"/>
      <c r="E14" s="37">
        <f>'BOQ (Final Harga Kontrak)'!I124</f>
        <v>47623612.684348695</v>
      </c>
    </row>
    <row r="15" spans="1:5" s="5" customFormat="1">
      <c r="A15" s="77" t="str">
        <f>'BOQ (Final Harga Kontrak)'!A127</f>
        <v>VIII</v>
      </c>
      <c r="B15" s="630" t="str">
        <f>'BOQ (Final Harga Kontrak)'!B127</f>
        <v>PEKERJAAN ATAP</v>
      </c>
      <c r="C15" s="35"/>
      <c r="D15" s="36"/>
      <c r="E15" s="37">
        <f>'BOQ (Final Harga Kontrak)'!I135</f>
        <v>141531058.47532985</v>
      </c>
    </row>
    <row r="16" spans="1:5" s="5" customFormat="1">
      <c r="A16" s="77" t="str">
        <f>'BOQ (Final Harga Kontrak)'!A137</f>
        <v>IX</v>
      </c>
      <c r="B16" s="630" t="str">
        <f>'BOQ (Final Harga Kontrak)'!B137</f>
        <v>PEKERJAAN CARPORT</v>
      </c>
      <c r="C16" s="35"/>
      <c r="D16" s="36"/>
      <c r="E16" s="38">
        <f>'BOQ (Final Harga Kontrak)'!I140</f>
        <v>24658510.091240413</v>
      </c>
    </row>
    <row r="17" spans="1:7" s="5" customFormat="1" ht="16" thickBot="1">
      <c r="A17" s="77" t="str">
        <f>'BOQ (Final Harga Kontrak)'!A142</f>
        <v>X</v>
      </c>
      <c r="B17" s="630" t="str">
        <f>'BOQ (Final Harga Kontrak)'!B142</f>
        <v>PEKERJAAN LAIN-LAIN</v>
      </c>
      <c r="C17" s="35"/>
      <c r="D17" s="36"/>
      <c r="E17" s="39">
        <f>'BOQ (Final Harga Kontrak)'!I149</f>
        <v>55506570.718827792</v>
      </c>
    </row>
    <row r="18" spans="1:7" s="5" customFormat="1" ht="18">
      <c r="A18" s="27"/>
      <c r="B18" s="28"/>
      <c r="C18" s="35"/>
      <c r="D18" s="40" t="s">
        <v>45</v>
      </c>
      <c r="E18" s="631">
        <f>SUM(E8:E17)</f>
        <v>1298500000.0000005</v>
      </c>
    </row>
    <row r="19" spans="1:7" s="5" customFormat="1">
      <c r="A19" s="41"/>
      <c r="B19" s="35"/>
      <c r="C19" s="35"/>
      <c r="D19" s="126" t="s">
        <v>193</v>
      </c>
      <c r="E19" s="37">
        <f>'BOQ (Final Harga Kontrak)'!I151</f>
        <v>26500000</v>
      </c>
    </row>
    <row r="20" spans="1:7" s="6" customFormat="1" ht="16" thickBot="1">
      <c r="A20" s="42"/>
      <c r="B20" s="43"/>
      <c r="C20" s="43"/>
      <c r="D20" s="44"/>
      <c r="E20" s="632"/>
    </row>
    <row r="21" spans="1:7" s="7" customFormat="1" ht="22.5" customHeight="1">
      <c r="A21" s="45"/>
      <c r="B21" s="46"/>
      <c r="C21" s="46"/>
      <c r="D21" s="47"/>
      <c r="E21" s="633">
        <f>E18+E19</f>
        <v>1325000000.0000005</v>
      </c>
    </row>
    <row r="22" spans="1:7" s="8" customFormat="1" ht="24.75" customHeight="1" thickBot="1">
      <c r="A22" s="48"/>
      <c r="B22" s="49"/>
      <c r="C22" s="49"/>
      <c r="D22" s="50" t="s">
        <v>36</v>
      </c>
      <c r="E22" s="634">
        <f>ROUND(E21,-6)</f>
        <v>1325000000</v>
      </c>
      <c r="G22" s="80"/>
    </row>
    <row r="23" spans="1:7" s="7" customFormat="1" ht="15" customHeight="1">
      <c r="A23" s="51"/>
      <c r="B23" s="51"/>
      <c r="C23" s="51"/>
      <c r="D23" s="52"/>
      <c r="E23" s="53"/>
    </row>
    <row r="24" spans="1:7" s="25" customFormat="1" ht="17.25" customHeight="1">
      <c r="A24" s="24"/>
      <c r="B24" s="81"/>
      <c r="C24" s="24"/>
      <c r="D24" s="82"/>
      <c r="E24" s="54"/>
    </row>
    <row r="25" spans="1:7" s="25" customFormat="1">
      <c r="A25" s="24"/>
      <c r="B25" s="24"/>
      <c r="C25" s="24"/>
      <c r="E25" s="54"/>
    </row>
    <row r="26" spans="1:7" s="25" customFormat="1">
      <c r="A26" s="24"/>
      <c r="B26" s="24"/>
      <c r="C26" s="24"/>
      <c r="E26" s="54"/>
    </row>
  </sheetData>
  <mergeCells count="2">
    <mergeCell ref="A5:A6"/>
    <mergeCell ref="B5:D6"/>
  </mergeCells>
  <printOptions horizontalCentered="1"/>
  <pageMargins left="0" right="0" top="1" bottom="0" header="0" footer="0"/>
  <pageSetup paperSize="9" scale="75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AC8B-86F7-4C60-9844-68BA13863743}">
  <sheetPr>
    <tabColor rgb="FF92D050"/>
    <pageSetUpPr fitToPage="1"/>
  </sheetPr>
  <dimension ref="A1:L180"/>
  <sheetViews>
    <sheetView view="pageBreakPreview" zoomScale="85" zoomScaleNormal="100" zoomScaleSheetLayoutView="85" workbookViewId="0">
      <selection activeCell="E6" sqref="E6"/>
    </sheetView>
  </sheetViews>
  <sheetFormatPr defaultRowHeight="15.5"/>
  <cols>
    <col min="1" max="1" width="6.08984375" style="57" customWidth="1"/>
    <col min="2" max="2" width="11.54296875" style="57" customWidth="1"/>
    <col min="3" max="3" width="2.08984375" style="57" customWidth="1"/>
    <col min="4" max="4" width="39.90625" style="65" customWidth="1"/>
    <col min="5" max="5" width="13.6328125" style="66" customWidth="1"/>
    <col min="6" max="6" width="6.81640625" style="57" customWidth="1"/>
    <col min="7" max="7" width="12.36328125" style="229" customWidth="1"/>
    <col min="8" max="8" width="21.90625" style="67" customWidth="1"/>
    <col min="9" max="9" width="27" style="578" customWidth="1"/>
    <col min="10" max="10" width="4.81640625" style="578" customWidth="1"/>
    <col min="11" max="11" width="20" style="55" customWidth="1"/>
    <col min="12" max="12" width="29.81640625" style="55" bestFit="1" customWidth="1"/>
    <col min="13" max="130" width="8.90625" style="55"/>
    <col min="131" max="131" width="7.54296875" style="55" customWidth="1"/>
    <col min="132" max="132" width="59.54296875" style="55" customWidth="1"/>
    <col min="133" max="133" width="11.453125" style="55" customWidth="1"/>
    <col min="134" max="134" width="7.08984375" style="55" bestFit="1" customWidth="1"/>
    <col min="135" max="136" width="19.36328125" style="55" customWidth="1"/>
    <col min="137" max="137" width="17.36328125" style="55" customWidth="1"/>
    <col min="138" max="138" width="22.453125" style="55" bestFit="1" customWidth="1"/>
    <col min="139" max="139" width="20.36328125" style="55" customWidth="1"/>
    <col min="140" max="140" width="21" style="55" customWidth="1"/>
    <col min="141" max="386" width="8.90625" style="55"/>
    <col min="387" max="387" width="7.54296875" style="55" customWidth="1"/>
    <col min="388" max="388" width="59.54296875" style="55" customWidth="1"/>
    <col min="389" max="389" width="11.453125" style="55" customWidth="1"/>
    <col min="390" max="390" width="7.08984375" style="55" bestFit="1" customWidth="1"/>
    <col min="391" max="392" width="19.36328125" style="55" customWidth="1"/>
    <col min="393" max="393" width="17.36328125" style="55" customWidth="1"/>
    <col min="394" max="394" width="22.453125" style="55" bestFit="1" customWidth="1"/>
    <col min="395" max="395" width="20.36328125" style="55" customWidth="1"/>
    <col min="396" max="396" width="21" style="55" customWidth="1"/>
    <col min="397" max="642" width="8.90625" style="55"/>
    <col min="643" max="643" width="7.54296875" style="55" customWidth="1"/>
    <col min="644" max="644" width="59.54296875" style="55" customWidth="1"/>
    <col min="645" max="645" width="11.453125" style="55" customWidth="1"/>
    <col min="646" max="646" width="7.08984375" style="55" bestFit="1" customWidth="1"/>
    <col min="647" max="648" width="19.36328125" style="55" customWidth="1"/>
    <col min="649" max="649" width="17.36328125" style="55" customWidth="1"/>
    <col min="650" max="650" width="22.453125" style="55" bestFit="1" customWidth="1"/>
    <col min="651" max="651" width="20.36328125" style="55" customWidth="1"/>
    <col min="652" max="652" width="21" style="55" customWidth="1"/>
    <col min="653" max="898" width="8.90625" style="55"/>
    <col min="899" max="899" width="7.54296875" style="55" customWidth="1"/>
    <col min="900" max="900" width="59.54296875" style="55" customWidth="1"/>
    <col min="901" max="901" width="11.453125" style="55" customWidth="1"/>
    <col min="902" max="902" width="7.08984375" style="55" bestFit="1" customWidth="1"/>
    <col min="903" max="904" width="19.36328125" style="55" customWidth="1"/>
    <col min="905" max="905" width="17.36328125" style="55" customWidth="1"/>
    <col min="906" max="906" width="22.453125" style="55" bestFit="1" customWidth="1"/>
    <col min="907" max="907" width="20.36328125" style="55" customWidth="1"/>
    <col min="908" max="908" width="21" style="55" customWidth="1"/>
    <col min="909" max="1154" width="8.90625" style="55"/>
    <col min="1155" max="1155" width="7.54296875" style="55" customWidth="1"/>
    <col min="1156" max="1156" width="59.54296875" style="55" customWidth="1"/>
    <col min="1157" max="1157" width="11.453125" style="55" customWidth="1"/>
    <col min="1158" max="1158" width="7.08984375" style="55" bestFit="1" customWidth="1"/>
    <col min="1159" max="1160" width="19.36328125" style="55" customWidth="1"/>
    <col min="1161" max="1161" width="17.36328125" style="55" customWidth="1"/>
    <col min="1162" max="1162" width="22.453125" style="55" bestFit="1" customWidth="1"/>
    <col min="1163" max="1163" width="20.36328125" style="55" customWidth="1"/>
    <col min="1164" max="1164" width="21" style="55" customWidth="1"/>
    <col min="1165" max="1410" width="8.90625" style="55"/>
    <col min="1411" max="1411" width="7.54296875" style="55" customWidth="1"/>
    <col min="1412" max="1412" width="59.54296875" style="55" customWidth="1"/>
    <col min="1413" max="1413" width="11.453125" style="55" customWidth="1"/>
    <col min="1414" max="1414" width="7.08984375" style="55" bestFit="1" customWidth="1"/>
    <col min="1415" max="1416" width="19.36328125" style="55" customWidth="1"/>
    <col min="1417" max="1417" width="17.36328125" style="55" customWidth="1"/>
    <col min="1418" max="1418" width="22.453125" style="55" bestFit="1" customWidth="1"/>
    <col min="1419" max="1419" width="20.36328125" style="55" customWidth="1"/>
    <col min="1420" max="1420" width="21" style="55" customWidth="1"/>
    <col min="1421" max="1666" width="8.90625" style="55"/>
    <col min="1667" max="1667" width="7.54296875" style="55" customWidth="1"/>
    <col min="1668" max="1668" width="59.54296875" style="55" customWidth="1"/>
    <col min="1669" max="1669" width="11.453125" style="55" customWidth="1"/>
    <col min="1670" max="1670" width="7.08984375" style="55" bestFit="1" customWidth="1"/>
    <col min="1671" max="1672" width="19.36328125" style="55" customWidth="1"/>
    <col min="1673" max="1673" width="17.36328125" style="55" customWidth="1"/>
    <col min="1674" max="1674" width="22.453125" style="55" bestFit="1" customWidth="1"/>
    <col min="1675" max="1675" width="20.36328125" style="55" customWidth="1"/>
    <col min="1676" max="1676" width="21" style="55" customWidth="1"/>
    <col min="1677" max="1922" width="8.90625" style="55"/>
    <col min="1923" max="1923" width="7.54296875" style="55" customWidth="1"/>
    <col min="1924" max="1924" width="59.54296875" style="55" customWidth="1"/>
    <col min="1925" max="1925" width="11.453125" style="55" customWidth="1"/>
    <col min="1926" max="1926" width="7.08984375" style="55" bestFit="1" customWidth="1"/>
    <col min="1927" max="1928" width="19.36328125" style="55" customWidth="1"/>
    <col min="1929" max="1929" width="17.36328125" style="55" customWidth="1"/>
    <col min="1930" max="1930" width="22.453125" style="55" bestFit="1" customWidth="1"/>
    <col min="1931" max="1931" width="20.36328125" style="55" customWidth="1"/>
    <col min="1932" max="1932" width="21" style="55" customWidth="1"/>
    <col min="1933" max="2178" width="8.90625" style="55"/>
    <col min="2179" max="2179" width="7.54296875" style="55" customWidth="1"/>
    <col min="2180" max="2180" width="59.54296875" style="55" customWidth="1"/>
    <col min="2181" max="2181" width="11.453125" style="55" customWidth="1"/>
    <col min="2182" max="2182" width="7.08984375" style="55" bestFit="1" customWidth="1"/>
    <col min="2183" max="2184" width="19.36328125" style="55" customWidth="1"/>
    <col min="2185" max="2185" width="17.36328125" style="55" customWidth="1"/>
    <col min="2186" max="2186" width="22.453125" style="55" bestFit="1" customWidth="1"/>
    <col min="2187" max="2187" width="20.36328125" style="55" customWidth="1"/>
    <col min="2188" max="2188" width="21" style="55" customWidth="1"/>
    <col min="2189" max="2434" width="8.90625" style="55"/>
    <col min="2435" max="2435" width="7.54296875" style="55" customWidth="1"/>
    <col min="2436" max="2436" width="59.54296875" style="55" customWidth="1"/>
    <col min="2437" max="2437" width="11.453125" style="55" customWidth="1"/>
    <col min="2438" max="2438" width="7.08984375" style="55" bestFit="1" customWidth="1"/>
    <col min="2439" max="2440" width="19.36328125" style="55" customWidth="1"/>
    <col min="2441" max="2441" width="17.36328125" style="55" customWidth="1"/>
    <col min="2442" max="2442" width="22.453125" style="55" bestFit="1" customWidth="1"/>
    <col min="2443" max="2443" width="20.36328125" style="55" customWidth="1"/>
    <col min="2444" max="2444" width="21" style="55" customWidth="1"/>
    <col min="2445" max="2690" width="8.90625" style="55"/>
    <col min="2691" max="2691" width="7.54296875" style="55" customWidth="1"/>
    <col min="2692" max="2692" width="59.54296875" style="55" customWidth="1"/>
    <col min="2693" max="2693" width="11.453125" style="55" customWidth="1"/>
    <col min="2694" max="2694" width="7.08984375" style="55" bestFit="1" customWidth="1"/>
    <col min="2695" max="2696" width="19.36328125" style="55" customWidth="1"/>
    <col min="2697" max="2697" width="17.36328125" style="55" customWidth="1"/>
    <col min="2698" max="2698" width="22.453125" style="55" bestFit="1" customWidth="1"/>
    <col min="2699" max="2699" width="20.36328125" style="55" customWidth="1"/>
    <col min="2700" max="2700" width="21" style="55" customWidth="1"/>
    <col min="2701" max="2946" width="8.90625" style="55"/>
    <col min="2947" max="2947" width="7.54296875" style="55" customWidth="1"/>
    <col min="2948" max="2948" width="59.54296875" style="55" customWidth="1"/>
    <col min="2949" max="2949" width="11.453125" style="55" customWidth="1"/>
    <col min="2950" max="2950" width="7.08984375" style="55" bestFit="1" customWidth="1"/>
    <col min="2951" max="2952" width="19.36328125" style="55" customWidth="1"/>
    <col min="2953" max="2953" width="17.36328125" style="55" customWidth="1"/>
    <col min="2954" max="2954" width="22.453125" style="55" bestFit="1" customWidth="1"/>
    <col min="2955" max="2955" width="20.36328125" style="55" customWidth="1"/>
    <col min="2956" max="2956" width="21" style="55" customWidth="1"/>
    <col min="2957" max="3202" width="8.90625" style="55"/>
    <col min="3203" max="3203" width="7.54296875" style="55" customWidth="1"/>
    <col min="3204" max="3204" width="59.54296875" style="55" customWidth="1"/>
    <col min="3205" max="3205" width="11.453125" style="55" customWidth="1"/>
    <col min="3206" max="3206" width="7.08984375" style="55" bestFit="1" customWidth="1"/>
    <col min="3207" max="3208" width="19.36328125" style="55" customWidth="1"/>
    <col min="3209" max="3209" width="17.36328125" style="55" customWidth="1"/>
    <col min="3210" max="3210" width="22.453125" style="55" bestFit="1" customWidth="1"/>
    <col min="3211" max="3211" width="20.36328125" style="55" customWidth="1"/>
    <col min="3212" max="3212" width="21" style="55" customWidth="1"/>
    <col min="3213" max="3458" width="8.90625" style="55"/>
    <col min="3459" max="3459" width="7.54296875" style="55" customWidth="1"/>
    <col min="3460" max="3460" width="59.54296875" style="55" customWidth="1"/>
    <col min="3461" max="3461" width="11.453125" style="55" customWidth="1"/>
    <col min="3462" max="3462" width="7.08984375" style="55" bestFit="1" customWidth="1"/>
    <col min="3463" max="3464" width="19.36328125" style="55" customWidth="1"/>
    <col min="3465" max="3465" width="17.36328125" style="55" customWidth="1"/>
    <col min="3466" max="3466" width="22.453125" style="55" bestFit="1" customWidth="1"/>
    <col min="3467" max="3467" width="20.36328125" style="55" customWidth="1"/>
    <col min="3468" max="3468" width="21" style="55" customWidth="1"/>
    <col min="3469" max="3714" width="8.90625" style="55"/>
    <col min="3715" max="3715" width="7.54296875" style="55" customWidth="1"/>
    <col min="3716" max="3716" width="59.54296875" style="55" customWidth="1"/>
    <col min="3717" max="3717" width="11.453125" style="55" customWidth="1"/>
    <col min="3718" max="3718" width="7.08984375" style="55" bestFit="1" customWidth="1"/>
    <col min="3719" max="3720" width="19.36328125" style="55" customWidth="1"/>
    <col min="3721" max="3721" width="17.36328125" style="55" customWidth="1"/>
    <col min="3722" max="3722" width="22.453125" style="55" bestFit="1" customWidth="1"/>
    <col min="3723" max="3723" width="20.36328125" style="55" customWidth="1"/>
    <col min="3724" max="3724" width="21" style="55" customWidth="1"/>
    <col min="3725" max="3970" width="8.90625" style="55"/>
    <col min="3971" max="3971" width="7.54296875" style="55" customWidth="1"/>
    <col min="3972" max="3972" width="59.54296875" style="55" customWidth="1"/>
    <col min="3973" max="3973" width="11.453125" style="55" customWidth="1"/>
    <col min="3974" max="3974" width="7.08984375" style="55" bestFit="1" customWidth="1"/>
    <col min="3975" max="3976" width="19.36328125" style="55" customWidth="1"/>
    <col min="3977" max="3977" width="17.36328125" style="55" customWidth="1"/>
    <col min="3978" max="3978" width="22.453125" style="55" bestFit="1" customWidth="1"/>
    <col min="3979" max="3979" width="20.36328125" style="55" customWidth="1"/>
    <col min="3980" max="3980" width="21" style="55" customWidth="1"/>
    <col min="3981" max="4226" width="8.90625" style="55"/>
    <col min="4227" max="4227" width="7.54296875" style="55" customWidth="1"/>
    <col min="4228" max="4228" width="59.54296875" style="55" customWidth="1"/>
    <col min="4229" max="4229" width="11.453125" style="55" customWidth="1"/>
    <col min="4230" max="4230" width="7.08984375" style="55" bestFit="1" customWidth="1"/>
    <col min="4231" max="4232" width="19.36328125" style="55" customWidth="1"/>
    <col min="4233" max="4233" width="17.36328125" style="55" customWidth="1"/>
    <col min="4234" max="4234" width="22.453125" style="55" bestFit="1" customWidth="1"/>
    <col min="4235" max="4235" width="20.36328125" style="55" customWidth="1"/>
    <col min="4236" max="4236" width="21" style="55" customWidth="1"/>
    <col min="4237" max="4482" width="8.90625" style="55"/>
    <col min="4483" max="4483" width="7.54296875" style="55" customWidth="1"/>
    <col min="4484" max="4484" width="59.54296875" style="55" customWidth="1"/>
    <col min="4485" max="4485" width="11.453125" style="55" customWidth="1"/>
    <col min="4486" max="4486" width="7.08984375" style="55" bestFit="1" customWidth="1"/>
    <col min="4487" max="4488" width="19.36328125" style="55" customWidth="1"/>
    <col min="4489" max="4489" width="17.36328125" style="55" customWidth="1"/>
    <col min="4490" max="4490" width="22.453125" style="55" bestFit="1" customWidth="1"/>
    <col min="4491" max="4491" width="20.36328125" style="55" customWidth="1"/>
    <col min="4492" max="4492" width="21" style="55" customWidth="1"/>
    <col min="4493" max="4738" width="8.90625" style="55"/>
    <col min="4739" max="4739" width="7.54296875" style="55" customWidth="1"/>
    <col min="4740" max="4740" width="59.54296875" style="55" customWidth="1"/>
    <col min="4741" max="4741" width="11.453125" style="55" customWidth="1"/>
    <col min="4742" max="4742" width="7.08984375" style="55" bestFit="1" customWidth="1"/>
    <col min="4743" max="4744" width="19.36328125" style="55" customWidth="1"/>
    <col min="4745" max="4745" width="17.36328125" style="55" customWidth="1"/>
    <col min="4746" max="4746" width="22.453125" style="55" bestFit="1" customWidth="1"/>
    <col min="4747" max="4747" width="20.36328125" style="55" customWidth="1"/>
    <col min="4748" max="4748" width="21" style="55" customWidth="1"/>
    <col min="4749" max="4994" width="8.90625" style="55"/>
    <col min="4995" max="4995" width="7.54296875" style="55" customWidth="1"/>
    <col min="4996" max="4996" width="59.54296875" style="55" customWidth="1"/>
    <col min="4997" max="4997" width="11.453125" style="55" customWidth="1"/>
    <col min="4998" max="4998" width="7.08984375" style="55" bestFit="1" customWidth="1"/>
    <col min="4999" max="5000" width="19.36328125" style="55" customWidth="1"/>
    <col min="5001" max="5001" width="17.36328125" style="55" customWidth="1"/>
    <col min="5002" max="5002" width="22.453125" style="55" bestFit="1" customWidth="1"/>
    <col min="5003" max="5003" width="20.36328125" style="55" customWidth="1"/>
    <col min="5004" max="5004" width="21" style="55" customWidth="1"/>
    <col min="5005" max="5250" width="8.90625" style="55"/>
    <col min="5251" max="5251" width="7.54296875" style="55" customWidth="1"/>
    <col min="5252" max="5252" width="59.54296875" style="55" customWidth="1"/>
    <col min="5253" max="5253" width="11.453125" style="55" customWidth="1"/>
    <col min="5254" max="5254" width="7.08984375" style="55" bestFit="1" customWidth="1"/>
    <col min="5255" max="5256" width="19.36328125" style="55" customWidth="1"/>
    <col min="5257" max="5257" width="17.36328125" style="55" customWidth="1"/>
    <col min="5258" max="5258" width="22.453125" style="55" bestFit="1" customWidth="1"/>
    <col min="5259" max="5259" width="20.36328125" style="55" customWidth="1"/>
    <col min="5260" max="5260" width="21" style="55" customWidth="1"/>
    <col min="5261" max="5506" width="8.90625" style="55"/>
    <col min="5507" max="5507" width="7.54296875" style="55" customWidth="1"/>
    <col min="5508" max="5508" width="59.54296875" style="55" customWidth="1"/>
    <col min="5509" max="5509" width="11.453125" style="55" customWidth="1"/>
    <col min="5510" max="5510" width="7.08984375" style="55" bestFit="1" customWidth="1"/>
    <col min="5511" max="5512" width="19.36328125" style="55" customWidth="1"/>
    <col min="5513" max="5513" width="17.36328125" style="55" customWidth="1"/>
    <col min="5514" max="5514" width="22.453125" style="55" bestFit="1" customWidth="1"/>
    <col min="5515" max="5515" width="20.36328125" style="55" customWidth="1"/>
    <col min="5516" max="5516" width="21" style="55" customWidth="1"/>
    <col min="5517" max="5762" width="8.90625" style="55"/>
    <col min="5763" max="5763" width="7.54296875" style="55" customWidth="1"/>
    <col min="5764" max="5764" width="59.54296875" style="55" customWidth="1"/>
    <col min="5765" max="5765" width="11.453125" style="55" customWidth="1"/>
    <col min="5766" max="5766" width="7.08984375" style="55" bestFit="1" customWidth="1"/>
    <col min="5767" max="5768" width="19.36328125" style="55" customWidth="1"/>
    <col min="5769" max="5769" width="17.36328125" style="55" customWidth="1"/>
    <col min="5770" max="5770" width="22.453125" style="55" bestFit="1" customWidth="1"/>
    <col min="5771" max="5771" width="20.36328125" style="55" customWidth="1"/>
    <col min="5772" max="5772" width="21" style="55" customWidth="1"/>
    <col min="5773" max="6018" width="8.90625" style="55"/>
    <col min="6019" max="6019" width="7.54296875" style="55" customWidth="1"/>
    <col min="6020" max="6020" width="59.54296875" style="55" customWidth="1"/>
    <col min="6021" max="6021" width="11.453125" style="55" customWidth="1"/>
    <col min="6022" max="6022" width="7.08984375" style="55" bestFit="1" customWidth="1"/>
    <col min="6023" max="6024" width="19.36328125" style="55" customWidth="1"/>
    <col min="6025" max="6025" width="17.36328125" style="55" customWidth="1"/>
    <col min="6026" max="6026" width="22.453125" style="55" bestFit="1" customWidth="1"/>
    <col min="6027" max="6027" width="20.36328125" style="55" customWidth="1"/>
    <col min="6028" max="6028" width="21" style="55" customWidth="1"/>
    <col min="6029" max="6274" width="8.90625" style="55"/>
    <col min="6275" max="6275" width="7.54296875" style="55" customWidth="1"/>
    <col min="6276" max="6276" width="59.54296875" style="55" customWidth="1"/>
    <col min="6277" max="6277" width="11.453125" style="55" customWidth="1"/>
    <col min="6278" max="6278" width="7.08984375" style="55" bestFit="1" customWidth="1"/>
    <col min="6279" max="6280" width="19.36328125" style="55" customWidth="1"/>
    <col min="6281" max="6281" width="17.36328125" style="55" customWidth="1"/>
    <col min="6282" max="6282" width="22.453125" style="55" bestFit="1" customWidth="1"/>
    <col min="6283" max="6283" width="20.36328125" style="55" customWidth="1"/>
    <col min="6284" max="6284" width="21" style="55" customWidth="1"/>
    <col min="6285" max="6530" width="8.90625" style="55"/>
    <col min="6531" max="6531" width="7.54296875" style="55" customWidth="1"/>
    <col min="6532" max="6532" width="59.54296875" style="55" customWidth="1"/>
    <col min="6533" max="6533" width="11.453125" style="55" customWidth="1"/>
    <col min="6534" max="6534" width="7.08984375" style="55" bestFit="1" customWidth="1"/>
    <col min="6535" max="6536" width="19.36328125" style="55" customWidth="1"/>
    <col min="6537" max="6537" width="17.36328125" style="55" customWidth="1"/>
    <col min="6538" max="6538" width="22.453125" style="55" bestFit="1" customWidth="1"/>
    <col min="6539" max="6539" width="20.36328125" style="55" customWidth="1"/>
    <col min="6540" max="6540" width="21" style="55" customWidth="1"/>
    <col min="6541" max="6786" width="8.90625" style="55"/>
    <col min="6787" max="6787" width="7.54296875" style="55" customWidth="1"/>
    <col min="6788" max="6788" width="59.54296875" style="55" customWidth="1"/>
    <col min="6789" max="6789" width="11.453125" style="55" customWidth="1"/>
    <col min="6790" max="6790" width="7.08984375" style="55" bestFit="1" customWidth="1"/>
    <col min="6791" max="6792" width="19.36328125" style="55" customWidth="1"/>
    <col min="6793" max="6793" width="17.36328125" style="55" customWidth="1"/>
    <col min="6794" max="6794" width="22.453125" style="55" bestFit="1" customWidth="1"/>
    <col min="6795" max="6795" width="20.36328125" style="55" customWidth="1"/>
    <col min="6796" max="6796" width="21" style="55" customWidth="1"/>
    <col min="6797" max="7042" width="8.90625" style="55"/>
    <col min="7043" max="7043" width="7.54296875" style="55" customWidth="1"/>
    <col min="7044" max="7044" width="59.54296875" style="55" customWidth="1"/>
    <col min="7045" max="7045" width="11.453125" style="55" customWidth="1"/>
    <col min="7046" max="7046" width="7.08984375" style="55" bestFit="1" customWidth="1"/>
    <col min="7047" max="7048" width="19.36328125" style="55" customWidth="1"/>
    <col min="7049" max="7049" width="17.36328125" style="55" customWidth="1"/>
    <col min="7050" max="7050" width="22.453125" style="55" bestFit="1" customWidth="1"/>
    <col min="7051" max="7051" width="20.36328125" style="55" customWidth="1"/>
    <col min="7052" max="7052" width="21" style="55" customWidth="1"/>
    <col min="7053" max="7298" width="8.90625" style="55"/>
    <col min="7299" max="7299" width="7.54296875" style="55" customWidth="1"/>
    <col min="7300" max="7300" width="59.54296875" style="55" customWidth="1"/>
    <col min="7301" max="7301" width="11.453125" style="55" customWidth="1"/>
    <col min="7302" max="7302" width="7.08984375" style="55" bestFit="1" customWidth="1"/>
    <col min="7303" max="7304" width="19.36328125" style="55" customWidth="1"/>
    <col min="7305" max="7305" width="17.36328125" style="55" customWidth="1"/>
    <col min="7306" max="7306" width="22.453125" style="55" bestFit="1" customWidth="1"/>
    <col min="7307" max="7307" width="20.36328125" style="55" customWidth="1"/>
    <col min="7308" max="7308" width="21" style="55" customWidth="1"/>
    <col min="7309" max="7554" width="8.90625" style="55"/>
    <col min="7555" max="7555" width="7.54296875" style="55" customWidth="1"/>
    <col min="7556" max="7556" width="59.54296875" style="55" customWidth="1"/>
    <col min="7557" max="7557" width="11.453125" style="55" customWidth="1"/>
    <col min="7558" max="7558" width="7.08984375" style="55" bestFit="1" customWidth="1"/>
    <col min="7559" max="7560" width="19.36328125" style="55" customWidth="1"/>
    <col min="7561" max="7561" width="17.36328125" style="55" customWidth="1"/>
    <col min="7562" max="7562" width="22.453125" style="55" bestFit="1" customWidth="1"/>
    <col min="7563" max="7563" width="20.36328125" style="55" customWidth="1"/>
    <col min="7564" max="7564" width="21" style="55" customWidth="1"/>
    <col min="7565" max="7810" width="8.90625" style="55"/>
    <col min="7811" max="7811" width="7.54296875" style="55" customWidth="1"/>
    <col min="7812" max="7812" width="59.54296875" style="55" customWidth="1"/>
    <col min="7813" max="7813" width="11.453125" style="55" customWidth="1"/>
    <col min="7814" max="7814" width="7.08984375" style="55" bestFit="1" customWidth="1"/>
    <col min="7815" max="7816" width="19.36328125" style="55" customWidth="1"/>
    <col min="7817" max="7817" width="17.36328125" style="55" customWidth="1"/>
    <col min="7818" max="7818" width="22.453125" style="55" bestFit="1" customWidth="1"/>
    <col min="7819" max="7819" width="20.36328125" style="55" customWidth="1"/>
    <col min="7820" max="7820" width="21" style="55" customWidth="1"/>
    <col min="7821" max="8066" width="8.90625" style="55"/>
    <col min="8067" max="8067" width="7.54296875" style="55" customWidth="1"/>
    <col min="8068" max="8068" width="59.54296875" style="55" customWidth="1"/>
    <col min="8069" max="8069" width="11.453125" style="55" customWidth="1"/>
    <col min="8070" max="8070" width="7.08984375" style="55" bestFit="1" customWidth="1"/>
    <col min="8071" max="8072" width="19.36328125" style="55" customWidth="1"/>
    <col min="8073" max="8073" width="17.36328125" style="55" customWidth="1"/>
    <col min="8074" max="8074" width="22.453125" style="55" bestFit="1" customWidth="1"/>
    <col min="8075" max="8075" width="20.36328125" style="55" customWidth="1"/>
    <col min="8076" max="8076" width="21" style="55" customWidth="1"/>
    <col min="8077" max="8322" width="8.90625" style="55"/>
    <col min="8323" max="8323" width="7.54296875" style="55" customWidth="1"/>
    <col min="8324" max="8324" width="59.54296875" style="55" customWidth="1"/>
    <col min="8325" max="8325" width="11.453125" style="55" customWidth="1"/>
    <col min="8326" max="8326" width="7.08984375" style="55" bestFit="1" customWidth="1"/>
    <col min="8327" max="8328" width="19.36328125" style="55" customWidth="1"/>
    <col min="8329" max="8329" width="17.36328125" style="55" customWidth="1"/>
    <col min="8330" max="8330" width="22.453125" style="55" bestFit="1" customWidth="1"/>
    <col min="8331" max="8331" width="20.36328125" style="55" customWidth="1"/>
    <col min="8332" max="8332" width="21" style="55" customWidth="1"/>
    <col min="8333" max="8578" width="8.90625" style="55"/>
    <col min="8579" max="8579" width="7.54296875" style="55" customWidth="1"/>
    <col min="8580" max="8580" width="59.54296875" style="55" customWidth="1"/>
    <col min="8581" max="8581" width="11.453125" style="55" customWidth="1"/>
    <col min="8582" max="8582" width="7.08984375" style="55" bestFit="1" customWidth="1"/>
    <col min="8583" max="8584" width="19.36328125" style="55" customWidth="1"/>
    <col min="8585" max="8585" width="17.36328125" style="55" customWidth="1"/>
    <col min="8586" max="8586" width="22.453125" style="55" bestFit="1" customWidth="1"/>
    <col min="8587" max="8587" width="20.36328125" style="55" customWidth="1"/>
    <col min="8588" max="8588" width="21" style="55" customWidth="1"/>
    <col min="8589" max="8834" width="8.90625" style="55"/>
    <col min="8835" max="8835" width="7.54296875" style="55" customWidth="1"/>
    <col min="8836" max="8836" width="59.54296875" style="55" customWidth="1"/>
    <col min="8837" max="8837" width="11.453125" style="55" customWidth="1"/>
    <col min="8838" max="8838" width="7.08984375" style="55" bestFit="1" customWidth="1"/>
    <col min="8839" max="8840" width="19.36328125" style="55" customWidth="1"/>
    <col min="8841" max="8841" width="17.36328125" style="55" customWidth="1"/>
    <col min="8842" max="8842" width="22.453125" style="55" bestFit="1" customWidth="1"/>
    <col min="8843" max="8843" width="20.36328125" style="55" customWidth="1"/>
    <col min="8844" max="8844" width="21" style="55" customWidth="1"/>
    <col min="8845" max="9090" width="8.90625" style="55"/>
    <col min="9091" max="9091" width="7.54296875" style="55" customWidth="1"/>
    <col min="9092" max="9092" width="59.54296875" style="55" customWidth="1"/>
    <col min="9093" max="9093" width="11.453125" style="55" customWidth="1"/>
    <col min="9094" max="9094" width="7.08984375" style="55" bestFit="1" customWidth="1"/>
    <col min="9095" max="9096" width="19.36328125" style="55" customWidth="1"/>
    <col min="9097" max="9097" width="17.36328125" style="55" customWidth="1"/>
    <col min="9098" max="9098" width="22.453125" style="55" bestFit="1" customWidth="1"/>
    <col min="9099" max="9099" width="20.36328125" style="55" customWidth="1"/>
    <col min="9100" max="9100" width="21" style="55" customWidth="1"/>
    <col min="9101" max="9346" width="8.90625" style="55"/>
    <col min="9347" max="9347" width="7.54296875" style="55" customWidth="1"/>
    <col min="9348" max="9348" width="59.54296875" style="55" customWidth="1"/>
    <col min="9349" max="9349" width="11.453125" style="55" customWidth="1"/>
    <col min="9350" max="9350" width="7.08984375" style="55" bestFit="1" customWidth="1"/>
    <col min="9351" max="9352" width="19.36328125" style="55" customWidth="1"/>
    <col min="9353" max="9353" width="17.36328125" style="55" customWidth="1"/>
    <col min="9354" max="9354" width="22.453125" style="55" bestFit="1" customWidth="1"/>
    <col min="9355" max="9355" width="20.36328125" style="55" customWidth="1"/>
    <col min="9356" max="9356" width="21" style="55" customWidth="1"/>
    <col min="9357" max="9602" width="8.90625" style="55"/>
    <col min="9603" max="9603" width="7.54296875" style="55" customWidth="1"/>
    <col min="9604" max="9604" width="59.54296875" style="55" customWidth="1"/>
    <col min="9605" max="9605" width="11.453125" style="55" customWidth="1"/>
    <col min="9606" max="9606" width="7.08984375" style="55" bestFit="1" customWidth="1"/>
    <col min="9607" max="9608" width="19.36328125" style="55" customWidth="1"/>
    <col min="9609" max="9609" width="17.36328125" style="55" customWidth="1"/>
    <col min="9610" max="9610" width="22.453125" style="55" bestFit="1" customWidth="1"/>
    <col min="9611" max="9611" width="20.36328125" style="55" customWidth="1"/>
    <col min="9612" max="9612" width="21" style="55" customWidth="1"/>
    <col min="9613" max="9858" width="8.90625" style="55"/>
    <col min="9859" max="9859" width="7.54296875" style="55" customWidth="1"/>
    <col min="9860" max="9860" width="59.54296875" style="55" customWidth="1"/>
    <col min="9861" max="9861" width="11.453125" style="55" customWidth="1"/>
    <col min="9862" max="9862" width="7.08984375" style="55" bestFit="1" customWidth="1"/>
    <col min="9863" max="9864" width="19.36328125" style="55" customWidth="1"/>
    <col min="9865" max="9865" width="17.36328125" style="55" customWidth="1"/>
    <col min="9866" max="9866" width="22.453125" style="55" bestFit="1" customWidth="1"/>
    <col min="9867" max="9867" width="20.36328125" style="55" customWidth="1"/>
    <col min="9868" max="9868" width="21" style="55" customWidth="1"/>
    <col min="9869" max="10114" width="8.90625" style="55"/>
    <col min="10115" max="10115" width="7.54296875" style="55" customWidth="1"/>
    <col min="10116" max="10116" width="59.54296875" style="55" customWidth="1"/>
    <col min="10117" max="10117" width="11.453125" style="55" customWidth="1"/>
    <col min="10118" max="10118" width="7.08984375" style="55" bestFit="1" customWidth="1"/>
    <col min="10119" max="10120" width="19.36328125" style="55" customWidth="1"/>
    <col min="10121" max="10121" width="17.36328125" style="55" customWidth="1"/>
    <col min="10122" max="10122" width="22.453125" style="55" bestFit="1" customWidth="1"/>
    <col min="10123" max="10123" width="20.36328125" style="55" customWidth="1"/>
    <col min="10124" max="10124" width="21" style="55" customWidth="1"/>
    <col min="10125" max="10370" width="8.90625" style="55"/>
    <col min="10371" max="10371" width="7.54296875" style="55" customWidth="1"/>
    <col min="10372" max="10372" width="59.54296875" style="55" customWidth="1"/>
    <col min="10373" max="10373" width="11.453125" style="55" customWidth="1"/>
    <col min="10374" max="10374" width="7.08984375" style="55" bestFit="1" customWidth="1"/>
    <col min="10375" max="10376" width="19.36328125" style="55" customWidth="1"/>
    <col min="10377" max="10377" width="17.36328125" style="55" customWidth="1"/>
    <col min="10378" max="10378" width="22.453125" style="55" bestFit="1" customWidth="1"/>
    <col min="10379" max="10379" width="20.36328125" style="55" customWidth="1"/>
    <col min="10380" max="10380" width="21" style="55" customWidth="1"/>
    <col min="10381" max="10626" width="8.90625" style="55"/>
    <col min="10627" max="10627" width="7.54296875" style="55" customWidth="1"/>
    <col min="10628" max="10628" width="59.54296875" style="55" customWidth="1"/>
    <col min="10629" max="10629" width="11.453125" style="55" customWidth="1"/>
    <col min="10630" max="10630" width="7.08984375" style="55" bestFit="1" customWidth="1"/>
    <col min="10631" max="10632" width="19.36328125" style="55" customWidth="1"/>
    <col min="10633" max="10633" width="17.36328125" style="55" customWidth="1"/>
    <col min="10634" max="10634" width="22.453125" style="55" bestFit="1" customWidth="1"/>
    <col min="10635" max="10635" width="20.36328125" style="55" customWidth="1"/>
    <col min="10636" max="10636" width="21" style="55" customWidth="1"/>
    <col min="10637" max="10882" width="8.90625" style="55"/>
    <col min="10883" max="10883" width="7.54296875" style="55" customWidth="1"/>
    <col min="10884" max="10884" width="59.54296875" style="55" customWidth="1"/>
    <col min="10885" max="10885" width="11.453125" style="55" customWidth="1"/>
    <col min="10886" max="10886" width="7.08984375" style="55" bestFit="1" customWidth="1"/>
    <col min="10887" max="10888" width="19.36328125" style="55" customWidth="1"/>
    <col min="10889" max="10889" width="17.36328125" style="55" customWidth="1"/>
    <col min="10890" max="10890" width="22.453125" style="55" bestFit="1" customWidth="1"/>
    <col min="10891" max="10891" width="20.36328125" style="55" customWidth="1"/>
    <col min="10892" max="10892" width="21" style="55" customWidth="1"/>
    <col min="10893" max="11138" width="8.90625" style="55"/>
    <col min="11139" max="11139" width="7.54296875" style="55" customWidth="1"/>
    <col min="11140" max="11140" width="59.54296875" style="55" customWidth="1"/>
    <col min="11141" max="11141" width="11.453125" style="55" customWidth="1"/>
    <col min="11142" max="11142" width="7.08984375" style="55" bestFit="1" customWidth="1"/>
    <col min="11143" max="11144" width="19.36328125" style="55" customWidth="1"/>
    <col min="11145" max="11145" width="17.36328125" style="55" customWidth="1"/>
    <col min="11146" max="11146" width="22.453125" style="55" bestFit="1" customWidth="1"/>
    <col min="11147" max="11147" width="20.36328125" style="55" customWidth="1"/>
    <col min="11148" max="11148" width="21" style="55" customWidth="1"/>
    <col min="11149" max="11394" width="8.90625" style="55"/>
    <col min="11395" max="11395" width="7.54296875" style="55" customWidth="1"/>
    <col min="11396" max="11396" width="59.54296875" style="55" customWidth="1"/>
    <col min="11397" max="11397" width="11.453125" style="55" customWidth="1"/>
    <col min="11398" max="11398" width="7.08984375" style="55" bestFit="1" customWidth="1"/>
    <col min="11399" max="11400" width="19.36328125" style="55" customWidth="1"/>
    <col min="11401" max="11401" width="17.36328125" style="55" customWidth="1"/>
    <col min="11402" max="11402" width="22.453125" style="55" bestFit="1" customWidth="1"/>
    <col min="11403" max="11403" width="20.36328125" style="55" customWidth="1"/>
    <col min="11404" max="11404" width="21" style="55" customWidth="1"/>
    <col min="11405" max="11650" width="8.90625" style="55"/>
    <col min="11651" max="11651" width="7.54296875" style="55" customWidth="1"/>
    <col min="11652" max="11652" width="59.54296875" style="55" customWidth="1"/>
    <col min="11653" max="11653" width="11.453125" style="55" customWidth="1"/>
    <col min="11654" max="11654" width="7.08984375" style="55" bestFit="1" customWidth="1"/>
    <col min="11655" max="11656" width="19.36328125" style="55" customWidth="1"/>
    <col min="11657" max="11657" width="17.36328125" style="55" customWidth="1"/>
    <col min="11658" max="11658" width="22.453125" style="55" bestFit="1" customWidth="1"/>
    <col min="11659" max="11659" width="20.36328125" style="55" customWidth="1"/>
    <col min="11660" max="11660" width="21" style="55" customWidth="1"/>
    <col min="11661" max="11906" width="8.90625" style="55"/>
    <col min="11907" max="11907" width="7.54296875" style="55" customWidth="1"/>
    <col min="11908" max="11908" width="59.54296875" style="55" customWidth="1"/>
    <col min="11909" max="11909" width="11.453125" style="55" customWidth="1"/>
    <col min="11910" max="11910" width="7.08984375" style="55" bestFit="1" customWidth="1"/>
    <col min="11911" max="11912" width="19.36328125" style="55" customWidth="1"/>
    <col min="11913" max="11913" width="17.36328125" style="55" customWidth="1"/>
    <col min="11914" max="11914" width="22.453125" style="55" bestFit="1" customWidth="1"/>
    <col min="11915" max="11915" width="20.36328125" style="55" customWidth="1"/>
    <col min="11916" max="11916" width="21" style="55" customWidth="1"/>
    <col min="11917" max="12162" width="8.90625" style="55"/>
    <col min="12163" max="12163" width="7.54296875" style="55" customWidth="1"/>
    <col min="12164" max="12164" width="59.54296875" style="55" customWidth="1"/>
    <col min="12165" max="12165" width="11.453125" style="55" customWidth="1"/>
    <col min="12166" max="12166" width="7.08984375" style="55" bestFit="1" customWidth="1"/>
    <col min="12167" max="12168" width="19.36328125" style="55" customWidth="1"/>
    <col min="12169" max="12169" width="17.36328125" style="55" customWidth="1"/>
    <col min="12170" max="12170" width="22.453125" style="55" bestFit="1" customWidth="1"/>
    <col min="12171" max="12171" width="20.36328125" style="55" customWidth="1"/>
    <col min="12172" max="12172" width="21" style="55" customWidth="1"/>
    <col min="12173" max="12418" width="8.90625" style="55"/>
    <col min="12419" max="12419" width="7.54296875" style="55" customWidth="1"/>
    <col min="12420" max="12420" width="59.54296875" style="55" customWidth="1"/>
    <col min="12421" max="12421" width="11.453125" style="55" customWidth="1"/>
    <col min="12422" max="12422" width="7.08984375" style="55" bestFit="1" customWidth="1"/>
    <col min="12423" max="12424" width="19.36328125" style="55" customWidth="1"/>
    <col min="12425" max="12425" width="17.36328125" style="55" customWidth="1"/>
    <col min="12426" max="12426" width="22.453125" style="55" bestFit="1" customWidth="1"/>
    <col min="12427" max="12427" width="20.36328125" style="55" customWidth="1"/>
    <col min="12428" max="12428" width="21" style="55" customWidth="1"/>
    <col min="12429" max="12674" width="8.90625" style="55"/>
    <col min="12675" max="12675" width="7.54296875" style="55" customWidth="1"/>
    <col min="12676" max="12676" width="59.54296875" style="55" customWidth="1"/>
    <col min="12677" max="12677" width="11.453125" style="55" customWidth="1"/>
    <col min="12678" max="12678" width="7.08984375" style="55" bestFit="1" customWidth="1"/>
    <col min="12679" max="12680" width="19.36328125" style="55" customWidth="1"/>
    <col min="12681" max="12681" width="17.36328125" style="55" customWidth="1"/>
    <col min="12682" max="12682" width="22.453125" style="55" bestFit="1" customWidth="1"/>
    <col min="12683" max="12683" width="20.36328125" style="55" customWidth="1"/>
    <col min="12684" max="12684" width="21" style="55" customWidth="1"/>
    <col min="12685" max="12930" width="8.90625" style="55"/>
    <col min="12931" max="12931" width="7.54296875" style="55" customWidth="1"/>
    <col min="12932" max="12932" width="59.54296875" style="55" customWidth="1"/>
    <col min="12933" max="12933" width="11.453125" style="55" customWidth="1"/>
    <col min="12934" max="12934" width="7.08984375" style="55" bestFit="1" customWidth="1"/>
    <col min="12935" max="12936" width="19.36328125" style="55" customWidth="1"/>
    <col min="12937" max="12937" width="17.36328125" style="55" customWidth="1"/>
    <col min="12938" max="12938" width="22.453125" style="55" bestFit="1" customWidth="1"/>
    <col min="12939" max="12939" width="20.36328125" style="55" customWidth="1"/>
    <col min="12940" max="12940" width="21" style="55" customWidth="1"/>
    <col min="12941" max="13186" width="8.90625" style="55"/>
    <col min="13187" max="13187" width="7.54296875" style="55" customWidth="1"/>
    <col min="13188" max="13188" width="59.54296875" style="55" customWidth="1"/>
    <col min="13189" max="13189" width="11.453125" style="55" customWidth="1"/>
    <col min="13190" max="13190" width="7.08984375" style="55" bestFit="1" customWidth="1"/>
    <col min="13191" max="13192" width="19.36328125" style="55" customWidth="1"/>
    <col min="13193" max="13193" width="17.36328125" style="55" customWidth="1"/>
    <col min="13194" max="13194" width="22.453125" style="55" bestFit="1" customWidth="1"/>
    <col min="13195" max="13195" width="20.36328125" style="55" customWidth="1"/>
    <col min="13196" max="13196" width="21" style="55" customWidth="1"/>
    <col min="13197" max="13442" width="8.90625" style="55"/>
    <col min="13443" max="13443" width="7.54296875" style="55" customWidth="1"/>
    <col min="13444" max="13444" width="59.54296875" style="55" customWidth="1"/>
    <col min="13445" max="13445" width="11.453125" style="55" customWidth="1"/>
    <col min="13446" max="13446" width="7.08984375" style="55" bestFit="1" customWidth="1"/>
    <col min="13447" max="13448" width="19.36328125" style="55" customWidth="1"/>
    <col min="13449" max="13449" width="17.36328125" style="55" customWidth="1"/>
    <col min="13450" max="13450" width="22.453125" style="55" bestFit="1" customWidth="1"/>
    <col min="13451" max="13451" width="20.36328125" style="55" customWidth="1"/>
    <col min="13452" max="13452" width="21" style="55" customWidth="1"/>
    <col min="13453" max="16384" width="8.90625" style="55"/>
  </cols>
  <sheetData>
    <row r="1" spans="1:12" ht="20.5">
      <c r="A1" s="635" t="s">
        <v>188</v>
      </c>
      <c r="B1" s="636"/>
      <c r="C1" s="636"/>
      <c r="D1" s="637"/>
      <c r="E1" s="638"/>
      <c r="F1" s="639"/>
      <c r="G1" s="640"/>
      <c r="H1" s="641"/>
      <c r="I1" s="642"/>
      <c r="K1" s="512" t="s">
        <v>256</v>
      </c>
      <c r="L1" s="526">
        <v>1325000000</v>
      </c>
    </row>
    <row r="2" spans="1:12" ht="18">
      <c r="A2" s="13" t="s">
        <v>23</v>
      </c>
      <c r="B2" s="73"/>
      <c r="C2" s="73" t="s">
        <v>24</v>
      </c>
      <c r="D2" s="15" t="s">
        <v>187</v>
      </c>
      <c r="E2" s="643"/>
      <c r="G2" s="644"/>
      <c r="H2" s="645"/>
      <c r="I2" s="646"/>
      <c r="K2" s="55" t="s">
        <v>257</v>
      </c>
      <c r="L2" s="527">
        <f>L1*2%</f>
        <v>26500000</v>
      </c>
    </row>
    <row r="3" spans="1:12" ht="18" hidden="1">
      <c r="A3" s="13" t="s">
        <v>25</v>
      </c>
      <c r="B3" s="73"/>
      <c r="C3" s="73" t="s">
        <v>24</v>
      </c>
      <c r="D3" s="15" t="s">
        <v>185</v>
      </c>
      <c r="E3" s="643"/>
      <c r="G3" s="644"/>
      <c r="H3" s="55"/>
      <c r="I3" s="647"/>
      <c r="J3" s="527"/>
    </row>
    <row r="4" spans="1:12" ht="18.5" hidden="1" thickBot="1">
      <c r="A4" s="17" t="s">
        <v>26</v>
      </c>
      <c r="B4" s="75"/>
      <c r="C4" s="75" t="s">
        <v>24</v>
      </c>
      <c r="D4" s="75" t="s">
        <v>186</v>
      </c>
      <c r="E4" s="716"/>
      <c r="F4" s="716"/>
      <c r="G4" s="716"/>
      <c r="H4" s="716"/>
      <c r="I4" s="717"/>
      <c r="J4" s="218"/>
    </row>
    <row r="5" spans="1:12" s="355" customFormat="1" ht="21">
      <c r="A5" s="13" t="s">
        <v>25</v>
      </c>
      <c r="B5" s="502"/>
      <c r="C5" s="502" t="s">
        <v>24</v>
      </c>
      <c r="D5" s="504" t="s">
        <v>185</v>
      </c>
      <c r="E5" s="460"/>
      <c r="F5" s="460"/>
      <c r="G5" s="648"/>
      <c r="H5" s="460"/>
      <c r="I5" s="649"/>
      <c r="J5" s="579"/>
      <c r="L5" s="468">
        <f>L1-L2</f>
        <v>1298500000</v>
      </c>
    </row>
    <row r="6" spans="1:12" s="355" customFormat="1" ht="21">
      <c r="A6" s="13" t="s">
        <v>26</v>
      </c>
      <c r="B6" s="504"/>
      <c r="C6" s="504" t="s">
        <v>24</v>
      </c>
      <c r="D6" s="504" t="s">
        <v>186</v>
      </c>
      <c r="E6" s="650"/>
      <c r="F6" s="462"/>
      <c r="G6" s="651"/>
      <c r="I6" s="652"/>
      <c r="J6" s="468"/>
    </row>
    <row r="7" spans="1:12" ht="18.5" thickBot="1">
      <c r="A7" s="13"/>
      <c r="B7" s="15"/>
      <c r="C7" s="15"/>
      <c r="D7" s="15"/>
      <c r="E7" s="218"/>
      <c r="F7" s="218"/>
      <c r="G7" s="653"/>
      <c r="H7" s="218"/>
      <c r="I7" s="654"/>
      <c r="J7" s="580"/>
    </row>
    <row r="8" spans="1:12" s="58" customFormat="1" ht="31">
      <c r="A8" s="706" t="s">
        <v>0</v>
      </c>
      <c r="B8" s="708" t="s">
        <v>1</v>
      </c>
      <c r="C8" s="709"/>
      <c r="D8" s="710"/>
      <c r="E8" s="714" t="s">
        <v>27</v>
      </c>
      <c r="F8" s="714"/>
      <c r="G8" s="514"/>
      <c r="H8" s="535" t="s">
        <v>184</v>
      </c>
      <c r="I8" s="655" t="s">
        <v>38</v>
      </c>
      <c r="J8" s="589"/>
    </row>
    <row r="9" spans="1:12" s="58" customFormat="1" ht="16" thickBot="1">
      <c r="A9" s="707"/>
      <c r="B9" s="711"/>
      <c r="C9" s="712"/>
      <c r="D9" s="713"/>
      <c r="E9" s="715"/>
      <c r="F9" s="715"/>
      <c r="G9" s="515"/>
      <c r="H9" s="513" t="s">
        <v>29</v>
      </c>
      <c r="I9" s="656" t="s">
        <v>29</v>
      </c>
      <c r="J9" s="589"/>
    </row>
    <row r="10" spans="1:12" ht="18.5" thickTop="1">
      <c r="A10" s="657" t="s">
        <v>2</v>
      </c>
      <c r="B10" s="90" t="s">
        <v>54</v>
      </c>
      <c r="C10" s="59"/>
      <c r="D10" s="60"/>
      <c r="E10" s="135"/>
      <c r="F10" s="136"/>
      <c r="G10" s="516"/>
      <c r="H10" s="230"/>
      <c r="I10" s="658"/>
      <c r="J10" s="590"/>
    </row>
    <row r="11" spans="1:12" ht="13.5" customHeight="1">
      <c r="A11" s="659" t="s">
        <v>2</v>
      </c>
      <c r="B11" s="537" t="s">
        <v>3</v>
      </c>
      <c r="C11" s="554"/>
      <c r="D11" s="602"/>
      <c r="E11" s="556"/>
      <c r="F11" s="557"/>
      <c r="G11" s="603"/>
      <c r="H11" s="543"/>
      <c r="I11" s="660"/>
      <c r="J11" s="590"/>
    </row>
    <row r="12" spans="1:12">
      <c r="A12" s="661">
        <v>1</v>
      </c>
      <c r="B12" s="86" t="s">
        <v>62</v>
      </c>
      <c r="C12" s="61"/>
      <c r="D12" s="84"/>
      <c r="E12" s="139">
        <v>128</v>
      </c>
      <c r="F12" s="140" t="s">
        <v>13</v>
      </c>
      <c r="G12" s="518">
        <v>2.0935990883127953E-3</v>
      </c>
      <c r="H12" s="536">
        <f>I12/E12</f>
        <v>21238.58137636066</v>
      </c>
      <c r="I12" s="662">
        <f>$L$5*G12</f>
        <v>2718538.4161741645</v>
      </c>
      <c r="J12" s="590"/>
    </row>
    <row r="13" spans="1:12">
      <c r="A13" s="661">
        <v>2</v>
      </c>
      <c r="B13" s="86" t="s">
        <v>63</v>
      </c>
      <c r="C13" s="61"/>
      <c r="D13" s="84"/>
      <c r="E13" s="139">
        <v>854</v>
      </c>
      <c r="F13" s="140" t="s">
        <v>14</v>
      </c>
      <c r="G13" s="518">
        <v>1.3968231417336929E-3</v>
      </c>
      <c r="H13" s="536">
        <f t="shared" ref="H13:H20" si="0">I13/E13</f>
        <v>2123.8581376360657</v>
      </c>
      <c r="I13" s="662">
        <f t="shared" ref="I13:I20" si="1">$L$5*G13</f>
        <v>1813774.8495412001</v>
      </c>
      <c r="J13" s="590"/>
    </row>
    <row r="14" spans="1:12">
      <c r="A14" s="661">
        <v>3</v>
      </c>
      <c r="B14" s="92" t="s">
        <v>58</v>
      </c>
      <c r="C14" s="61"/>
      <c r="D14" s="84"/>
      <c r="E14" s="141">
        <v>30</v>
      </c>
      <c r="F14" s="142" t="s">
        <v>64</v>
      </c>
      <c r="G14" s="518">
        <v>6.9513950447921387E-3</v>
      </c>
      <c r="H14" s="536">
        <f t="shared" si="0"/>
        <v>300879.54885541979</v>
      </c>
      <c r="I14" s="662">
        <f t="shared" si="1"/>
        <v>9026386.465662593</v>
      </c>
      <c r="J14" s="590"/>
    </row>
    <row r="15" spans="1:12">
      <c r="A15" s="661">
        <v>4</v>
      </c>
      <c r="B15" s="92" t="s">
        <v>250</v>
      </c>
      <c r="C15" s="61"/>
      <c r="D15" s="226" t="s">
        <v>249</v>
      </c>
      <c r="E15" s="141">
        <v>1</v>
      </c>
      <c r="F15" s="142" t="s">
        <v>56</v>
      </c>
      <c r="G15" s="518">
        <v>2.0445303596804639E-3</v>
      </c>
      <c r="H15" s="536">
        <f t="shared" si="0"/>
        <v>2654822.6720450823</v>
      </c>
      <c r="I15" s="662">
        <f t="shared" si="1"/>
        <v>2654822.6720450823</v>
      </c>
      <c r="J15" s="590"/>
    </row>
    <row r="16" spans="1:12">
      <c r="A16" s="661">
        <v>5</v>
      </c>
      <c r="B16" s="92" t="s">
        <v>60</v>
      </c>
      <c r="C16" s="61"/>
      <c r="D16" s="84"/>
      <c r="E16" s="141">
        <v>1</v>
      </c>
      <c r="F16" s="142" t="s">
        <v>56</v>
      </c>
      <c r="G16" s="518">
        <v>5.3335574600359929E-3</v>
      </c>
      <c r="H16" s="536">
        <f t="shared" si="0"/>
        <v>6925624.3618567372</v>
      </c>
      <c r="I16" s="662">
        <f t="shared" si="1"/>
        <v>6925624.3618567372</v>
      </c>
      <c r="J16" s="590"/>
    </row>
    <row r="17" spans="1:10">
      <c r="A17" s="661">
        <v>6</v>
      </c>
      <c r="B17" s="92" t="s">
        <v>59</v>
      </c>
      <c r="C17" s="61"/>
      <c r="D17" s="84"/>
      <c r="E17" s="141">
        <v>3</v>
      </c>
      <c r="F17" s="142" t="s">
        <v>18</v>
      </c>
      <c r="G17" s="518">
        <v>3.6883245907421184E-4</v>
      </c>
      <c r="H17" s="536">
        <f t="shared" si="0"/>
        <v>159642.98270262135</v>
      </c>
      <c r="I17" s="662">
        <f t="shared" si="1"/>
        <v>478928.94810786407</v>
      </c>
      <c r="J17" s="590"/>
    </row>
    <row r="18" spans="1:10">
      <c r="A18" s="661">
        <v>7</v>
      </c>
      <c r="B18" s="92" t="s">
        <v>173</v>
      </c>
      <c r="C18" s="61"/>
      <c r="D18" s="84"/>
      <c r="E18" s="143">
        <v>1</v>
      </c>
      <c r="F18" s="144" t="s">
        <v>56</v>
      </c>
      <c r="G18" s="519">
        <v>7.1114099467146571E-3</v>
      </c>
      <c r="H18" s="536">
        <f t="shared" si="0"/>
        <v>9234165.8158089817</v>
      </c>
      <c r="I18" s="662">
        <f t="shared" si="1"/>
        <v>9234165.8158089817</v>
      </c>
      <c r="J18" s="590"/>
    </row>
    <row r="19" spans="1:10">
      <c r="A19" s="661">
        <v>8</v>
      </c>
      <c r="B19" s="92" t="s">
        <v>174</v>
      </c>
      <c r="C19" s="61"/>
      <c r="D19" s="84"/>
      <c r="E19" s="143">
        <v>8</v>
      </c>
      <c r="F19" s="144" t="s">
        <v>56</v>
      </c>
      <c r="G19" s="519">
        <v>5.6891279573717257E-3</v>
      </c>
      <c r="H19" s="536">
        <f t="shared" si="0"/>
        <v>923416.58158089826</v>
      </c>
      <c r="I19" s="662">
        <f t="shared" si="1"/>
        <v>7387332.6526471861</v>
      </c>
      <c r="J19" s="590"/>
    </row>
    <row r="20" spans="1:10" ht="16" thickBot="1">
      <c r="A20" s="663">
        <v>9</v>
      </c>
      <c r="B20" s="93" t="s">
        <v>47</v>
      </c>
      <c r="C20" s="208"/>
      <c r="D20" s="209"/>
      <c r="E20" s="157">
        <v>30</v>
      </c>
      <c r="F20" s="158" t="s">
        <v>14</v>
      </c>
      <c r="G20" s="519">
        <v>6.4002689520431914E-3</v>
      </c>
      <c r="H20" s="536">
        <f t="shared" si="0"/>
        <v>277024.97447426949</v>
      </c>
      <c r="I20" s="664">
        <f t="shared" si="1"/>
        <v>8310749.2342280839</v>
      </c>
      <c r="J20" s="590"/>
    </row>
    <row r="21" spans="1:10" ht="16" thickTop="1">
      <c r="A21" s="665"/>
      <c r="B21" s="530"/>
      <c r="C21" s="531"/>
      <c r="D21" s="532"/>
      <c r="E21" s="533"/>
      <c r="F21" s="529"/>
      <c r="G21" s="534"/>
      <c r="H21" s="528">
        <v>0</v>
      </c>
      <c r="I21" s="666">
        <f>SUM(I12:I20)</f>
        <v>48550323.416071892</v>
      </c>
      <c r="J21" s="591"/>
    </row>
    <row r="22" spans="1:10">
      <c r="A22" s="667"/>
      <c r="B22" s="63"/>
      <c r="C22" s="61"/>
      <c r="D22" s="64"/>
      <c r="E22" s="137"/>
      <c r="F22" s="138"/>
      <c r="G22" s="517"/>
      <c r="H22" s="231">
        <v>0</v>
      </c>
      <c r="I22" s="662"/>
      <c r="J22" s="590"/>
    </row>
    <row r="23" spans="1:10">
      <c r="A23" s="659" t="s">
        <v>4</v>
      </c>
      <c r="B23" s="537" t="s">
        <v>5</v>
      </c>
      <c r="C23" s="538"/>
      <c r="D23" s="539"/>
      <c r="E23" s="540"/>
      <c r="F23" s="541"/>
      <c r="G23" s="542"/>
      <c r="H23" s="543">
        <v>0</v>
      </c>
      <c r="I23" s="668"/>
      <c r="J23" s="592"/>
    </row>
    <row r="24" spans="1:10">
      <c r="A24" s="669">
        <v>1</v>
      </c>
      <c r="B24" s="86" t="s">
        <v>165</v>
      </c>
      <c r="C24" s="61"/>
      <c r="D24" s="64"/>
      <c r="E24" s="151">
        <v>1</v>
      </c>
      <c r="F24" s="140" t="s">
        <v>56</v>
      </c>
      <c r="G24" s="518">
        <v>4.97798696270026E-2</v>
      </c>
      <c r="H24" s="536">
        <f t="shared" ref="H24:H61" si="2">I24/E24</f>
        <v>64639160.710662879</v>
      </c>
      <c r="I24" s="662">
        <f t="shared" ref="I24:I61" si="3">$L$5*G24</f>
        <v>64639160.710662879</v>
      </c>
      <c r="J24" s="590"/>
    </row>
    <row r="25" spans="1:10">
      <c r="A25" s="661">
        <f>A24+1</f>
        <v>2</v>
      </c>
      <c r="B25" s="86" t="s">
        <v>150</v>
      </c>
      <c r="C25" s="101"/>
      <c r="D25" s="102"/>
      <c r="E25" s="151">
        <f>3.14*0.15*0.15*6*18</f>
        <v>7.6301999999999985</v>
      </c>
      <c r="F25" s="140" t="s">
        <v>15</v>
      </c>
      <c r="G25" s="518">
        <v>6.3336712734761522E-3</v>
      </c>
      <c r="H25" s="536">
        <f t="shared" si="2"/>
        <v>1077858.0048503033</v>
      </c>
      <c r="I25" s="662">
        <f t="shared" si="3"/>
        <v>8224272.1486087833</v>
      </c>
      <c r="J25" s="590"/>
    </row>
    <row r="26" spans="1:10">
      <c r="A26" s="661">
        <f>A25+1</f>
        <v>3</v>
      </c>
      <c r="B26" s="86" t="s">
        <v>151</v>
      </c>
      <c r="C26" s="101"/>
      <c r="D26" s="102"/>
      <c r="E26" s="151">
        <f>3.14*0.1*0.1*4*42</f>
        <v>5.2752000000000008</v>
      </c>
      <c r="F26" s="140" t="s">
        <v>15</v>
      </c>
      <c r="G26" s="518">
        <v>4.3788344606748722E-3</v>
      </c>
      <c r="H26" s="536">
        <f t="shared" si="2"/>
        <v>1077858.0048503035</v>
      </c>
      <c r="I26" s="662">
        <f t="shared" si="3"/>
        <v>5685916.5471863216</v>
      </c>
      <c r="J26" s="590"/>
    </row>
    <row r="27" spans="1:10">
      <c r="A27" s="661">
        <f>A26+1</f>
        <v>4</v>
      </c>
      <c r="B27" s="86" t="s">
        <v>102</v>
      </c>
      <c r="C27" s="101"/>
      <c r="D27" s="102"/>
      <c r="E27" s="151">
        <v>877.61</v>
      </c>
      <c r="F27" s="140" t="s">
        <v>72</v>
      </c>
      <c r="G27" s="518">
        <v>8.0671740991604367E-3</v>
      </c>
      <c r="H27" s="536">
        <f t="shared" si="2"/>
        <v>11936.08273351469</v>
      </c>
      <c r="I27" s="662">
        <f t="shared" si="3"/>
        <v>10475225.567759827</v>
      </c>
      <c r="J27" s="590"/>
    </row>
    <row r="28" spans="1:10">
      <c r="A28" s="661">
        <f>A27+1</f>
        <v>5</v>
      </c>
      <c r="B28" s="86" t="s">
        <v>103</v>
      </c>
      <c r="C28" s="101"/>
      <c r="D28" s="102"/>
      <c r="E28" s="151">
        <v>1411.64</v>
      </c>
      <c r="F28" s="140" t="s">
        <v>72</v>
      </c>
      <c r="G28" s="518">
        <v>1.2976089202879229E-2</v>
      </c>
      <c r="H28" s="536">
        <f t="shared" si="2"/>
        <v>11936.082733514691</v>
      </c>
      <c r="I28" s="662">
        <f t="shared" si="3"/>
        <v>16849451.82993868</v>
      </c>
      <c r="J28" s="590"/>
    </row>
    <row r="29" spans="1:10">
      <c r="A29" s="661">
        <f t="shared" ref="A29:A61" si="4">A28+1</f>
        <v>6</v>
      </c>
      <c r="B29" s="103" t="s">
        <v>65</v>
      </c>
      <c r="C29" s="101"/>
      <c r="D29" s="102"/>
      <c r="E29" s="139">
        <f>0.6*0.6*0.3*50</f>
        <v>5.4</v>
      </c>
      <c r="F29" s="140" t="s">
        <v>15</v>
      </c>
      <c r="G29" s="518">
        <v>3.4465448306752588E-4</v>
      </c>
      <c r="H29" s="536">
        <f t="shared" si="2"/>
        <v>82876.638196885615</v>
      </c>
      <c r="I29" s="662">
        <f t="shared" si="3"/>
        <v>447533.84626318235</v>
      </c>
      <c r="J29" s="590"/>
    </row>
    <row r="30" spans="1:10">
      <c r="A30" s="661">
        <f t="shared" si="4"/>
        <v>7</v>
      </c>
      <c r="B30" s="103" t="s">
        <v>66</v>
      </c>
      <c r="C30" s="101"/>
      <c r="D30" s="102"/>
      <c r="E30" s="139">
        <f>0.8*0.8*0.3*30</f>
        <v>5.7600000000000007</v>
      </c>
      <c r="F30" s="140" t="s">
        <v>15</v>
      </c>
      <c r="G30" s="518">
        <v>3.6763144860536097E-4</v>
      </c>
      <c r="H30" s="536">
        <f t="shared" si="2"/>
        <v>82876.638196885615</v>
      </c>
      <c r="I30" s="662">
        <f t="shared" si="3"/>
        <v>477369.43601406121</v>
      </c>
      <c r="J30" s="590"/>
    </row>
    <row r="31" spans="1:10">
      <c r="A31" s="661">
        <f t="shared" si="4"/>
        <v>8</v>
      </c>
      <c r="B31" s="86" t="s">
        <v>67</v>
      </c>
      <c r="C31" s="101"/>
      <c r="D31" s="102"/>
      <c r="E31" s="151">
        <f>(0.6*0.6*0.05)*50</f>
        <v>0.89999999999999991</v>
      </c>
      <c r="F31" s="140" t="s">
        <v>15</v>
      </c>
      <c r="G31" s="518">
        <v>5.58967488926692E-5</v>
      </c>
      <c r="H31" s="536">
        <f t="shared" si="2"/>
        <v>80646.587152367749</v>
      </c>
      <c r="I31" s="662">
        <f t="shared" si="3"/>
        <v>72581.928437130962</v>
      </c>
      <c r="J31" s="590"/>
    </row>
    <row r="32" spans="1:10">
      <c r="A32" s="661">
        <f t="shared" si="4"/>
        <v>9</v>
      </c>
      <c r="B32" s="86" t="s">
        <v>68</v>
      </c>
      <c r="C32" s="101"/>
      <c r="D32" s="102"/>
      <c r="E32" s="139">
        <f>(0.8*0.8*0.05)*30</f>
        <v>0.96000000000000019</v>
      </c>
      <c r="F32" s="140" t="s">
        <v>15</v>
      </c>
      <c r="G32" s="518">
        <v>5.9623198818847177E-5</v>
      </c>
      <c r="H32" s="536">
        <f t="shared" si="2"/>
        <v>80646.587152367749</v>
      </c>
      <c r="I32" s="662">
        <f t="shared" si="3"/>
        <v>77420.723666273057</v>
      </c>
      <c r="J32" s="590"/>
    </row>
    <row r="33" spans="1:10">
      <c r="A33" s="661">
        <f t="shared" si="4"/>
        <v>10</v>
      </c>
      <c r="B33" s="86" t="s">
        <v>69</v>
      </c>
      <c r="C33" s="101"/>
      <c r="D33" s="102"/>
      <c r="E33" s="151">
        <f>0.6*0.6*50</f>
        <v>18</v>
      </c>
      <c r="F33" s="140" t="s">
        <v>14</v>
      </c>
      <c r="G33" s="518">
        <v>9.162625031745033E-4</v>
      </c>
      <c r="H33" s="536">
        <f t="shared" si="2"/>
        <v>66098.158909560705</v>
      </c>
      <c r="I33" s="662">
        <f t="shared" si="3"/>
        <v>1189766.8603720926</v>
      </c>
      <c r="J33" s="590"/>
    </row>
    <row r="34" spans="1:10">
      <c r="A34" s="661">
        <f t="shared" si="4"/>
        <v>11</v>
      </c>
      <c r="B34" s="86" t="s">
        <v>70</v>
      </c>
      <c r="C34" s="101"/>
      <c r="D34" s="102"/>
      <c r="E34" s="139">
        <f>0.8*0.8*30</f>
        <v>19.200000000000003</v>
      </c>
      <c r="F34" s="140" t="s">
        <v>14</v>
      </c>
      <c r="G34" s="518">
        <v>9.7734667005280364E-4</v>
      </c>
      <c r="H34" s="536">
        <f t="shared" si="2"/>
        <v>66098.158909560705</v>
      </c>
      <c r="I34" s="662">
        <f t="shared" si="3"/>
        <v>1269084.6510635656</v>
      </c>
      <c r="J34" s="590"/>
    </row>
    <row r="35" spans="1:10">
      <c r="A35" s="661">
        <f t="shared" si="4"/>
        <v>12</v>
      </c>
      <c r="B35" s="86" t="s">
        <v>104</v>
      </c>
      <c r="C35" s="101"/>
      <c r="D35" s="102"/>
      <c r="E35" s="151">
        <f>'[40]VOLUME PC'!G16</f>
        <v>5.3999999999999995</v>
      </c>
      <c r="F35" s="140" t="s">
        <v>15</v>
      </c>
      <c r="G35" s="518">
        <v>4.4824283605634481E-3</v>
      </c>
      <c r="H35" s="536">
        <f t="shared" si="2"/>
        <v>1077858.0048503033</v>
      </c>
      <c r="I35" s="662">
        <f t="shared" si="3"/>
        <v>5820433.2261916371</v>
      </c>
      <c r="J35" s="590"/>
    </row>
    <row r="36" spans="1:10">
      <c r="A36" s="661">
        <f t="shared" si="4"/>
        <v>13</v>
      </c>
      <c r="B36" s="86" t="s">
        <v>105</v>
      </c>
      <c r="C36" s="101"/>
      <c r="D36" s="102"/>
      <c r="E36" s="151">
        <f>'[40]VOLUME PC'!G17</f>
        <v>7.4880000000000013</v>
      </c>
      <c r="F36" s="140" t="s">
        <v>15</v>
      </c>
      <c r="G36" s="518">
        <v>6.2156339933146509E-3</v>
      </c>
      <c r="H36" s="536">
        <f t="shared" si="2"/>
        <v>1077858.0048503035</v>
      </c>
      <c r="I36" s="662">
        <f t="shared" si="3"/>
        <v>8071000.7403190741</v>
      </c>
      <c r="J36" s="590"/>
    </row>
    <row r="37" spans="1:10">
      <c r="A37" s="661">
        <f t="shared" si="4"/>
        <v>14</v>
      </c>
      <c r="B37" s="86" t="s">
        <v>108</v>
      </c>
      <c r="C37" s="101"/>
      <c r="D37" s="102"/>
      <c r="E37" s="151">
        <v>588.6</v>
      </c>
      <c r="F37" s="140" t="s">
        <v>72</v>
      </c>
      <c r="G37" s="518">
        <v>5.4105339214068132E-3</v>
      </c>
      <c r="H37" s="536">
        <f t="shared" si="2"/>
        <v>11936.082733514691</v>
      </c>
      <c r="I37" s="662">
        <f t="shared" si="3"/>
        <v>7025578.2969467472</v>
      </c>
      <c r="J37" s="590"/>
    </row>
    <row r="38" spans="1:10">
      <c r="A38" s="661">
        <f t="shared" si="4"/>
        <v>15</v>
      </c>
      <c r="B38" s="86" t="s">
        <v>109</v>
      </c>
      <c r="C38" s="101"/>
      <c r="D38" s="102"/>
      <c r="E38" s="151">
        <v>900.25</v>
      </c>
      <c r="F38" s="140" t="s">
        <v>72</v>
      </c>
      <c r="G38" s="518">
        <v>8.2752856995353102E-3</v>
      </c>
      <c r="H38" s="536">
        <f t="shared" si="2"/>
        <v>11936.082733514691</v>
      </c>
      <c r="I38" s="662">
        <f t="shared" si="3"/>
        <v>10745458.480846601</v>
      </c>
      <c r="J38" s="590"/>
    </row>
    <row r="39" spans="1:10">
      <c r="A39" s="661">
        <f t="shared" si="4"/>
        <v>16</v>
      </c>
      <c r="B39" s="86" t="s">
        <v>110</v>
      </c>
      <c r="C39" s="101"/>
      <c r="D39" s="102"/>
      <c r="E39" s="151">
        <f>'[40]VOLUME PC'!I10</f>
        <v>39.6</v>
      </c>
      <c r="F39" s="140" t="s">
        <v>14</v>
      </c>
      <c r="G39" s="518">
        <v>4.5987212474220742E-3</v>
      </c>
      <c r="H39" s="536">
        <f t="shared" si="2"/>
        <v>150793.92777216068</v>
      </c>
      <c r="I39" s="662">
        <f t="shared" si="3"/>
        <v>5971439.539777563</v>
      </c>
      <c r="J39" s="590"/>
    </row>
    <row r="40" spans="1:10">
      <c r="A40" s="661">
        <f t="shared" si="4"/>
        <v>17</v>
      </c>
      <c r="B40" s="86" t="s">
        <v>111</v>
      </c>
      <c r="C40" s="101"/>
      <c r="D40" s="102"/>
      <c r="E40" s="151">
        <f>'[40]VOLUME PC'!I11</f>
        <v>62.400000000000006</v>
      </c>
      <c r="F40" s="140" t="s">
        <v>14</v>
      </c>
      <c r="G40" s="518">
        <v>7.2464698444226622E-3</v>
      </c>
      <c r="H40" s="536">
        <f t="shared" si="2"/>
        <v>150793.92777216068</v>
      </c>
      <c r="I40" s="662">
        <f t="shared" si="3"/>
        <v>9409541.0929828268</v>
      </c>
      <c r="J40" s="590"/>
    </row>
    <row r="41" spans="1:10">
      <c r="A41" s="661">
        <f t="shared" si="4"/>
        <v>18</v>
      </c>
      <c r="B41" s="93" t="s">
        <v>121</v>
      </c>
      <c r="C41" s="101"/>
      <c r="D41" s="102"/>
      <c r="E41" s="139">
        <f>(0.6*0.6*0.3)*17</f>
        <v>1.8360000000000001</v>
      </c>
      <c r="F41" s="140" t="s">
        <v>15</v>
      </c>
      <c r="G41" s="518">
        <v>1.1718252424295879E-4</v>
      </c>
      <c r="H41" s="536">
        <f t="shared" si="2"/>
        <v>82876.638196885615</v>
      </c>
      <c r="I41" s="662">
        <f t="shared" si="3"/>
        <v>152161.50772948199</v>
      </c>
      <c r="J41" s="590"/>
    </row>
    <row r="42" spans="1:10">
      <c r="A42" s="661">
        <f t="shared" si="4"/>
        <v>19</v>
      </c>
      <c r="B42" s="93" t="s">
        <v>125</v>
      </c>
      <c r="C42" s="101"/>
      <c r="D42" s="102"/>
      <c r="E42" s="139">
        <f>(0.6*0.6*0.5)*17</f>
        <v>3.06</v>
      </c>
      <c r="F42" s="140" t="s">
        <v>15</v>
      </c>
      <c r="G42" s="518">
        <v>1.900489462350753E-4</v>
      </c>
      <c r="H42" s="536">
        <f t="shared" si="2"/>
        <v>80646.587152367734</v>
      </c>
      <c r="I42" s="662">
        <f t="shared" si="3"/>
        <v>246778.55668624528</v>
      </c>
      <c r="J42" s="590"/>
    </row>
    <row r="43" spans="1:10">
      <c r="A43" s="661">
        <f t="shared" si="4"/>
        <v>20</v>
      </c>
      <c r="B43" s="93" t="s">
        <v>126</v>
      </c>
      <c r="C43" s="101"/>
      <c r="D43" s="102"/>
      <c r="E43" s="139">
        <f>E42</f>
        <v>3.06</v>
      </c>
      <c r="F43" s="140" t="s">
        <v>15</v>
      </c>
      <c r="G43" s="518">
        <v>1.5576462553966558E-4</v>
      </c>
      <c r="H43" s="536">
        <f t="shared" si="2"/>
        <v>66098.158909560705</v>
      </c>
      <c r="I43" s="662">
        <f t="shared" si="3"/>
        <v>202260.36626325577</v>
      </c>
      <c r="J43" s="590"/>
    </row>
    <row r="44" spans="1:10">
      <c r="A44" s="661">
        <f t="shared" si="4"/>
        <v>21</v>
      </c>
      <c r="B44" s="93" t="s">
        <v>122</v>
      </c>
      <c r="C44" s="101"/>
      <c r="D44" s="102"/>
      <c r="E44" s="139">
        <f>'[40]VOLUME BP &amp; GALIAN'!F61</f>
        <v>18.013000000000005</v>
      </c>
      <c r="F44" s="140" t="s">
        <v>15</v>
      </c>
      <c r="G44" s="518">
        <v>1.1496780006472862E-3</v>
      </c>
      <c r="H44" s="536">
        <f t="shared" si="2"/>
        <v>82876.638196885615</v>
      </c>
      <c r="I44" s="662">
        <f t="shared" si="3"/>
        <v>1492856.8838405011</v>
      </c>
      <c r="J44" s="590"/>
    </row>
    <row r="45" spans="1:10">
      <c r="A45" s="661">
        <f t="shared" si="4"/>
        <v>22</v>
      </c>
      <c r="B45" s="93" t="s">
        <v>123</v>
      </c>
      <c r="C45" s="101"/>
      <c r="D45" s="102"/>
      <c r="E45" s="139">
        <f>'[40]VOLUME BP &amp; GALIAN'!F76</f>
        <v>9.7693750000000019</v>
      </c>
      <c r="F45" s="140" t="s">
        <v>15</v>
      </c>
      <c r="G45" s="518">
        <v>6.2352942416996494E-4</v>
      </c>
      <c r="H45" s="536">
        <f t="shared" si="2"/>
        <v>82876.6381968856</v>
      </c>
      <c r="I45" s="662">
        <f t="shared" si="3"/>
        <v>809652.95728469943</v>
      </c>
      <c r="J45" s="590"/>
    </row>
    <row r="46" spans="1:10">
      <c r="A46" s="661">
        <f t="shared" si="4"/>
        <v>23</v>
      </c>
      <c r="B46" s="93" t="s">
        <v>124</v>
      </c>
      <c r="C46" s="101"/>
      <c r="D46" s="102"/>
      <c r="E46" s="139">
        <f>'[40]VOLUME BP &amp; GALIAN'!F108</f>
        <v>5.5738799999999991</v>
      </c>
      <c r="F46" s="140" t="s">
        <v>15</v>
      </c>
      <c r="G46" s="518">
        <v>3.5575235742230012E-4</v>
      </c>
      <c r="H46" s="536">
        <f t="shared" si="2"/>
        <v>82876.638196885615</v>
      </c>
      <c r="I46" s="662">
        <f t="shared" si="3"/>
        <v>461944.43611285673</v>
      </c>
      <c r="J46" s="590"/>
    </row>
    <row r="47" spans="1:10" ht="16" thickBot="1">
      <c r="A47" s="661">
        <f t="shared" si="4"/>
        <v>24</v>
      </c>
      <c r="B47" s="105" t="s">
        <v>148</v>
      </c>
      <c r="C47" s="106"/>
      <c r="D47" s="107"/>
      <c r="E47" s="152">
        <f>E29+E30</f>
        <v>11.16</v>
      </c>
      <c r="F47" s="146" t="s">
        <v>15</v>
      </c>
      <c r="G47" s="521">
        <v>4.3848242590447908E-4</v>
      </c>
      <c r="H47" s="536">
        <f t="shared" si="2"/>
        <v>51018.76613234463</v>
      </c>
      <c r="I47" s="662">
        <f t="shared" si="3"/>
        <v>569369.43003696611</v>
      </c>
      <c r="J47" s="590"/>
    </row>
    <row r="48" spans="1:10">
      <c r="A48" s="661">
        <f t="shared" si="4"/>
        <v>25</v>
      </c>
      <c r="B48" s="86" t="s">
        <v>152</v>
      </c>
      <c r="C48" s="101"/>
      <c r="D48" s="102"/>
      <c r="E48" s="151">
        <v>326.20999999999998</v>
      </c>
      <c r="F48" s="140" t="s">
        <v>14</v>
      </c>
      <c r="G48" s="518">
        <v>1.9474830460035834E-2</v>
      </c>
      <c r="H48" s="536">
        <f t="shared" si="2"/>
        <v>77520.822023716421</v>
      </c>
      <c r="I48" s="662">
        <f t="shared" si="3"/>
        <v>25288067.352356531</v>
      </c>
      <c r="J48" s="590"/>
    </row>
    <row r="49" spans="1:10">
      <c r="A49" s="661">
        <f t="shared" si="4"/>
        <v>26</v>
      </c>
      <c r="B49" s="86" t="s">
        <v>153</v>
      </c>
      <c r="C49" s="101"/>
      <c r="D49" s="102"/>
      <c r="E49" s="151">
        <f>'[40]Volume Wiremesh &amp; Lantai'!G3</f>
        <v>39.145199999999996</v>
      </c>
      <c r="F49" s="140" t="s">
        <v>15</v>
      </c>
      <c r="G49" s="518">
        <v>3.2493621233320058E-2</v>
      </c>
      <c r="H49" s="536">
        <f t="shared" si="2"/>
        <v>1077858.0048503035</v>
      </c>
      <c r="I49" s="662">
        <f t="shared" si="3"/>
        <v>42192967.171466097</v>
      </c>
      <c r="J49" s="590"/>
    </row>
    <row r="50" spans="1:10">
      <c r="A50" s="661">
        <f t="shared" si="4"/>
        <v>27</v>
      </c>
      <c r="B50" s="86" t="s">
        <v>112</v>
      </c>
      <c r="C50" s="101"/>
      <c r="D50" s="102"/>
      <c r="E50" s="151">
        <f>'[40]VOLUME BP &amp; GALIAN'!T61</f>
        <v>14.410399999999999</v>
      </c>
      <c r="F50" s="140" t="s">
        <v>15</v>
      </c>
      <c r="G50" s="518">
        <v>1.1961775119826578E-2</v>
      </c>
      <c r="H50" s="536">
        <f t="shared" si="2"/>
        <v>1077858.0048503033</v>
      </c>
      <c r="I50" s="662">
        <f t="shared" si="3"/>
        <v>15532364.993094811</v>
      </c>
      <c r="J50" s="590"/>
    </row>
    <row r="51" spans="1:10">
      <c r="A51" s="661">
        <f t="shared" si="4"/>
        <v>28</v>
      </c>
      <c r="B51" s="86" t="s">
        <v>113</v>
      </c>
      <c r="C51" s="101"/>
      <c r="D51" s="102"/>
      <c r="E51" s="151">
        <f>'[40]VOLUME BP &amp; GALIAN'!T76</f>
        <v>7.9931249999999991</v>
      </c>
      <c r="F51" s="140" t="s">
        <v>15</v>
      </c>
      <c r="G51" s="518">
        <v>2.418643636220694E-3</v>
      </c>
      <c r="H51" s="536">
        <f t="shared" si="2"/>
        <v>392913.75546267215</v>
      </c>
      <c r="I51" s="662">
        <f t="shared" si="3"/>
        <v>3140608.761632571</v>
      </c>
      <c r="J51" s="590"/>
    </row>
    <row r="52" spans="1:10">
      <c r="A52" s="661">
        <f t="shared" si="4"/>
        <v>29</v>
      </c>
      <c r="B52" s="86" t="s">
        <v>114</v>
      </c>
      <c r="C52" s="101"/>
      <c r="D52" s="102"/>
      <c r="E52" s="151">
        <f>'[40]VOLUME BP &amp; GALIAN'!T109</f>
        <v>3.7159199999999997</v>
      </c>
      <c r="F52" s="140" t="s">
        <v>15</v>
      </c>
      <c r="G52" s="518">
        <v>3.0845083691823944E-3</v>
      </c>
      <c r="H52" s="536">
        <f t="shared" si="2"/>
        <v>1077858.0048503033</v>
      </c>
      <c r="I52" s="662">
        <f t="shared" si="3"/>
        <v>4005234.117383339</v>
      </c>
      <c r="J52" s="590"/>
    </row>
    <row r="53" spans="1:10">
      <c r="A53" s="661">
        <f t="shared" si="4"/>
        <v>30</v>
      </c>
      <c r="B53" s="86" t="s">
        <v>115</v>
      </c>
      <c r="C53" s="101"/>
      <c r="D53" s="102"/>
      <c r="E53" s="151">
        <f>'[40]TB, Balok, Kolom'!R2</f>
        <v>1525.64</v>
      </c>
      <c r="F53" s="140" t="s">
        <v>72</v>
      </c>
      <c r="G53" s="518">
        <v>1.4024000971551293E-2</v>
      </c>
      <c r="H53" s="536">
        <f t="shared" si="2"/>
        <v>11936.08273351469</v>
      </c>
      <c r="I53" s="662">
        <f t="shared" si="3"/>
        <v>18210165.261559352</v>
      </c>
      <c r="J53" s="590"/>
    </row>
    <row r="54" spans="1:10">
      <c r="A54" s="661">
        <f t="shared" si="4"/>
        <v>31</v>
      </c>
      <c r="B54" s="86" t="s">
        <v>116</v>
      </c>
      <c r="C54" s="101"/>
      <c r="D54" s="102"/>
      <c r="E54" s="151">
        <f>'[40]TB, Balok, Kolom'!R3</f>
        <v>641.28000000000009</v>
      </c>
      <c r="F54" s="140" t="s">
        <v>72</v>
      </c>
      <c r="G54" s="518">
        <v>5.8947794650352726E-3</v>
      </c>
      <c r="H54" s="536">
        <f t="shared" si="2"/>
        <v>11936.08273351469</v>
      </c>
      <c r="I54" s="662">
        <f t="shared" si="3"/>
        <v>7654371.1353483014</v>
      </c>
      <c r="J54" s="590"/>
    </row>
    <row r="55" spans="1:10">
      <c r="A55" s="661">
        <f t="shared" si="4"/>
        <v>32</v>
      </c>
      <c r="B55" s="86" t="s">
        <v>117</v>
      </c>
      <c r="C55" s="101"/>
      <c r="D55" s="102"/>
      <c r="E55" s="151">
        <v>624.35</v>
      </c>
      <c r="F55" s="140" t="s">
        <v>72</v>
      </c>
      <c r="G55" s="518">
        <v>5.739155375178974E-3</v>
      </c>
      <c r="H55" s="536">
        <f t="shared" si="2"/>
        <v>11936.08273351469</v>
      </c>
      <c r="I55" s="662">
        <f t="shared" si="3"/>
        <v>7452293.2546698973</v>
      </c>
      <c r="J55" s="590"/>
    </row>
    <row r="56" spans="1:10">
      <c r="A56" s="661">
        <f t="shared" si="4"/>
        <v>33</v>
      </c>
      <c r="B56" s="86" t="s">
        <v>118</v>
      </c>
      <c r="C56" s="101"/>
      <c r="D56" s="102"/>
      <c r="E56" s="151">
        <f>'[40]VOLUME BP &amp; GALIAN'!M61</f>
        <v>144.10400000000004</v>
      </c>
      <c r="F56" s="140" t="s">
        <v>14</v>
      </c>
      <c r="G56" s="518">
        <v>1.6734700167639161E-2</v>
      </c>
      <c r="H56" s="536">
        <f t="shared" si="2"/>
        <v>150793.92777216071</v>
      </c>
      <c r="I56" s="662">
        <f t="shared" si="3"/>
        <v>21730008.167679451</v>
      </c>
      <c r="J56" s="590"/>
    </row>
    <row r="57" spans="1:10">
      <c r="A57" s="661">
        <f t="shared" si="4"/>
        <v>34</v>
      </c>
      <c r="B57" s="86" t="s">
        <v>119</v>
      </c>
      <c r="C57" s="101"/>
      <c r="D57" s="102"/>
      <c r="E57" s="151">
        <f>'[40]VOLUME BP &amp; GALIAN'!M76</f>
        <v>63.944999999999993</v>
      </c>
      <c r="F57" s="140" t="s">
        <v>14</v>
      </c>
      <c r="G57" s="518">
        <v>7.4258896506667798E-3</v>
      </c>
      <c r="H57" s="536">
        <f t="shared" si="2"/>
        <v>150793.92777216068</v>
      </c>
      <c r="I57" s="662">
        <f t="shared" si="3"/>
        <v>9642517.7113908138</v>
      </c>
      <c r="J57" s="590"/>
    </row>
    <row r="58" spans="1:10">
      <c r="A58" s="661">
        <f t="shared" si="4"/>
        <v>35</v>
      </c>
      <c r="B58" s="86" t="s">
        <v>120</v>
      </c>
      <c r="C58" s="101"/>
      <c r="D58" s="102"/>
      <c r="E58" s="151">
        <f>'[40]VOLUME BP &amp; GALIAN'!M109</f>
        <v>57.168000000000006</v>
      </c>
      <c r="F58" s="140" t="s">
        <v>14</v>
      </c>
      <c r="G58" s="518">
        <v>6.6388812190056852E-3</v>
      </c>
      <c r="H58" s="536">
        <f t="shared" si="2"/>
        <v>150793.92777216068</v>
      </c>
      <c r="I58" s="662">
        <f t="shared" si="3"/>
        <v>8620587.2628788818</v>
      </c>
      <c r="J58" s="590"/>
    </row>
    <row r="59" spans="1:10">
      <c r="A59" s="661">
        <f t="shared" si="4"/>
        <v>36</v>
      </c>
      <c r="B59" s="86" t="s">
        <v>154</v>
      </c>
      <c r="C59" s="101"/>
      <c r="D59" s="102"/>
      <c r="E59" s="151">
        <f>'[40]VOLUME PC'!U5</f>
        <v>770.4</v>
      </c>
      <c r="F59" s="140" t="s">
        <v>72</v>
      </c>
      <c r="G59" s="518">
        <v>7.0816774261838415E-3</v>
      </c>
      <c r="H59" s="536">
        <f t="shared" si="2"/>
        <v>11936.082733514691</v>
      </c>
      <c r="I59" s="662">
        <f t="shared" si="3"/>
        <v>9195558.1378997173</v>
      </c>
      <c r="J59" s="590"/>
    </row>
    <row r="60" spans="1:10">
      <c r="A60" s="661">
        <f t="shared" si="4"/>
        <v>37</v>
      </c>
      <c r="B60" s="86" t="s">
        <v>155</v>
      </c>
      <c r="C60" s="101"/>
      <c r="D60" s="102"/>
      <c r="E60" s="151">
        <f>'[40]VOLUME PC'!I12</f>
        <v>22.68</v>
      </c>
      <c r="F60" s="140" t="s">
        <v>14</v>
      </c>
      <c r="G60" s="518">
        <v>2.6338130780690062E-3</v>
      </c>
      <c r="H60" s="536">
        <f t="shared" si="2"/>
        <v>150793.92777216071</v>
      </c>
      <c r="I60" s="662">
        <f t="shared" si="3"/>
        <v>3420006.2818726045</v>
      </c>
      <c r="J60" s="590"/>
    </row>
    <row r="61" spans="1:10" ht="16" thickBot="1">
      <c r="A61" s="663">
        <f t="shared" si="4"/>
        <v>38</v>
      </c>
      <c r="B61" s="93" t="s">
        <v>156</v>
      </c>
      <c r="C61" s="190"/>
      <c r="D61" s="191"/>
      <c r="E61" s="157">
        <f>'[40]VOLUME PC'!G18</f>
        <v>2.2679999999999998</v>
      </c>
      <c r="F61" s="158" t="s">
        <v>15</v>
      </c>
      <c r="G61" s="519">
        <v>1.8826199114366482E-3</v>
      </c>
      <c r="H61" s="536">
        <f t="shared" si="2"/>
        <v>1077858.0048503033</v>
      </c>
      <c r="I61" s="664">
        <f t="shared" si="3"/>
        <v>2444581.9550004876</v>
      </c>
      <c r="J61" s="590"/>
    </row>
    <row r="62" spans="1:10" ht="16" thickTop="1">
      <c r="A62" s="670"/>
      <c r="B62" s="544" t="s">
        <v>149</v>
      </c>
      <c r="C62" s="545"/>
      <c r="D62" s="546"/>
      <c r="E62" s="547"/>
      <c r="F62" s="548"/>
      <c r="G62" s="549"/>
      <c r="H62" s="528">
        <v>0</v>
      </c>
      <c r="I62" s="671">
        <f>SUM(I24:I61)</f>
        <v>338915591.32922405</v>
      </c>
      <c r="J62" s="593"/>
    </row>
    <row r="63" spans="1:10">
      <c r="A63" s="672"/>
      <c r="B63" s="63"/>
      <c r="C63" s="61"/>
      <c r="D63" s="64"/>
      <c r="E63" s="147"/>
      <c r="F63" s="148"/>
      <c r="G63" s="522"/>
      <c r="H63" s="231">
        <v>0</v>
      </c>
      <c r="I63" s="673"/>
      <c r="J63" s="594"/>
    </row>
    <row r="64" spans="1:10">
      <c r="A64" s="672"/>
      <c r="B64" s="63"/>
      <c r="C64" s="61"/>
      <c r="D64" s="64"/>
      <c r="E64" s="137"/>
      <c r="F64" s="138"/>
      <c r="G64" s="520"/>
      <c r="H64" s="231">
        <v>0</v>
      </c>
      <c r="I64" s="662"/>
      <c r="J64" s="590"/>
    </row>
    <row r="65" spans="1:10">
      <c r="A65" s="659" t="s">
        <v>6</v>
      </c>
      <c r="B65" s="537" t="s">
        <v>7</v>
      </c>
      <c r="C65" s="538"/>
      <c r="D65" s="539"/>
      <c r="E65" s="540"/>
      <c r="F65" s="541"/>
      <c r="G65" s="542"/>
      <c r="H65" s="543">
        <v>0</v>
      </c>
      <c r="I65" s="668"/>
      <c r="J65" s="592"/>
    </row>
    <row r="66" spans="1:10">
      <c r="A66" s="661">
        <f>A61+1</f>
        <v>39</v>
      </c>
      <c r="B66" s="86" t="s">
        <v>127</v>
      </c>
      <c r="C66" s="101"/>
      <c r="D66" s="102"/>
      <c r="E66" s="151">
        <f>'[40]TB, Balok, Kolom'!N28</f>
        <v>1062.5</v>
      </c>
      <c r="F66" s="140" t="s">
        <v>72</v>
      </c>
      <c r="G66" s="518">
        <v>9.7667215281935765E-3</v>
      </c>
      <c r="H66" s="536">
        <f t="shared" ref="H66:H86" si="5">I66/E66</f>
        <v>11936.082733514691</v>
      </c>
      <c r="I66" s="662">
        <f t="shared" ref="I66:I86" si="6">$L$5*G66</f>
        <v>12682087.904359359</v>
      </c>
      <c r="J66" s="590"/>
    </row>
    <row r="67" spans="1:10">
      <c r="A67" s="661">
        <f t="shared" ref="A67:A86" si="7">A66+1</f>
        <v>40</v>
      </c>
      <c r="B67" s="86" t="s">
        <v>128</v>
      </c>
      <c r="C67" s="101"/>
      <c r="D67" s="102"/>
      <c r="E67" s="151">
        <f>'[40]TB, Balok, Kolom'!O28</f>
        <v>144.47999999999999</v>
      </c>
      <c r="F67" s="140" t="s">
        <v>14</v>
      </c>
      <c r="G67" s="518">
        <v>1.6778364793624777E-2</v>
      </c>
      <c r="H67" s="536">
        <f t="shared" si="5"/>
        <v>150793.92777216068</v>
      </c>
      <c r="I67" s="662">
        <f t="shared" si="6"/>
        <v>21786706.684521772</v>
      </c>
      <c r="J67" s="590"/>
    </row>
    <row r="68" spans="1:10">
      <c r="A68" s="661">
        <f t="shared" si="7"/>
        <v>41</v>
      </c>
      <c r="B68" s="86" t="s">
        <v>139</v>
      </c>
      <c r="C68" s="101"/>
      <c r="D68" s="102"/>
      <c r="E68" s="151">
        <f>'[40]TB, Balok, Kolom'!P28</f>
        <v>6.5519999999999996</v>
      </c>
      <c r="F68" s="140" t="s">
        <v>15</v>
      </c>
      <c r="G68" s="518">
        <v>6.6469775592300183E-3</v>
      </c>
      <c r="H68" s="536">
        <f t="shared" si="5"/>
        <v>1317323.0098687697</v>
      </c>
      <c r="I68" s="662">
        <f t="shared" si="6"/>
        <v>8631100.3606601786</v>
      </c>
      <c r="J68" s="590"/>
    </row>
    <row r="69" spans="1:10">
      <c r="A69" s="661">
        <f t="shared" si="7"/>
        <v>42</v>
      </c>
      <c r="B69" s="86" t="s">
        <v>129</v>
      </c>
      <c r="C69" s="101"/>
      <c r="D69" s="102"/>
      <c r="E69" s="151">
        <f>'[40]TB, Balok, Kolom'!N29</f>
        <v>387.5</v>
      </c>
      <c r="F69" s="140" t="s">
        <v>72</v>
      </c>
      <c r="G69" s="518">
        <v>3.5619807926353044E-3</v>
      </c>
      <c r="H69" s="536">
        <f t="shared" si="5"/>
        <v>11936.082733514691</v>
      </c>
      <c r="I69" s="662">
        <f t="shared" si="6"/>
        <v>4625232.0592369428</v>
      </c>
      <c r="J69" s="590"/>
    </row>
    <row r="70" spans="1:10">
      <c r="A70" s="661">
        <f t="shared" si="7"/>
        <v>43</v>
      </c>
      <c r="B70" s="86" t="s">
        <v>130</v>
      </c>
      <c r="C70" s="101"/>
      <c r="D70" s="102"/>
      <c r="E70" s="151">
        <f>'[40]TB, Balok, Kolom'!O29</f>
        <v>69.599999999999994</v>
      </c>
      <c r="F70" s="140" t="s">
        <v>14</v>
      </c>
      <c r="G70" s="518">
        <v>8.0826009803175846E-3</v>
      </c>
      <c r="H70" s="536">
        <f t="shared" si="5"/>
        <v>150793.92777216071</v>
      </c>
      <c r="I70" s="662">
        <f t="shared" si="6"/>
        <v>10495257.372942384</v>
      </c>
      <c r="J70" s="590"/>
    </row>
    <row r="71" spans="1:10">
      <c r="A71" s="661">
        <f t="shared" si="7"/>
        <v>44</v>
      </c>
      <c r="B71" s="86" t="s">
        <v>140</v>
      </c>
      <c r="C71" s="101"/>
      <c r="D71" s="102"/>
      <c r="E71" s="151">
        <f>'[40]TB, Balok, Kolom'!P29</f>
        <v>3.5100000000000002</v>
      </c>
      <c r="F71" s="140" t="s">
        <v>15</v>
      </c>
      <c r="G71" s="518">
        <v>3.5608808353017963E-3</v>
      </c>
      <c r="H71" s="536">
        <f t="shared" si="5"/>
        <v>1317323.0098687697</v>
      </c>
      <c r="I71" s="662">
        <f t="shared" si="6"/>
        <v>4623803.7646393823</v>
      </c>
      <c r="J71" s="590"/>
    </row>
    <row r="72" spans="1:10">
      <c r="A72" s="661">
        <f t="shared" si="7"/>
        <v>45</v>
      </c>
      <c r="B72" s="86" t="s">
        <v>131</v>
      </c>
      <c r="C72" s="101"/>
      <c r="D72" s="102"/>
      <c r="E72" s="151">
        <f>'[40]TB, Balok, Kolom'!S7</f>
        <v>595.50800000000004</v>
      </c>
      <c r="F72" s="140" t="s">
        <v>72</v>
      </c>
      <c r="G72" s="518">
        <v>5.4740336977049421E-3</v>
      </c>
      <c r="H72" s="536">
        <f t="shared" si="5"/>
        <v>11936.082733514691</v>
      </c>
      <c r="I72" s="662">
        <f t="shared" si="6"/>
        <v>7108032.7564698672</v>
      </c>
      <c r="J72" s="590"/>
    </row>
    <row r="73" spans="1:10">
      <c r="A73" s="661">
        <f t="shared" si="7"/>
        <v>46</v>
      </c>
      <c r="B73" s="86" t="s">
        <v>132</v>
      </c>
      <c r="C73" s="101"/>
      <c r="D73" s="102"/>
      <c r="E73" s="151">
        <f>'[40]TB, Balok, Kolom'!P43</f>
        <v>58.520000000000017</v>
      </c>
      <c r="F73" s="140" t="s">
        <v>14</v>
      </c>
      <c r="G73" s="518">
        <v>6.7958880656348456E-3</v>
      </c>
      <c r="H73" s="536">
        <f t="shared" si="5"/>
        <v>150793.92777216071</v>
      </c>
      <c r="I73" s="662">
        <f t="shared" si="6"/>
        <v>8824460.6532268468</v>
      </c>
      <c r="J73" s="590"/>
    </row>
    <row r="74" spans="1:10">
      <c r="A74" s="661">
        <f t="shared" si="7"/>
        <v>47</v>
      </c>
      <c r="B74" s="86" t="s">
        <v>141</v>
      </c>
      <c r="C74" s="101"/>
      <c r="D74" s="102"/>
      <c r="E74" s="151">
        <f>'[40]TB, Balok, Kolom'!Q43</f>
        <v>4.7879999999999994</v>
      </c>
      <c r="F74" s="140" t="s">
        <v>15</v>
      </c>
      <c r="G74" s="518">
        <v>3.9744198130329247E-3</v>
      </c>
      <c r="H74" s="536">
        <f t="shared" si="5"/>
        <v>1077858.0048503035</v>
      </c>
      <c r="I74" s="662">
        <f t="shared" si="6"/>
        <v>5160784.1272232523</v>
      </c>
      <c r="J74" s="590"/>
    </row>
    <row r="75" spans="1:10">
      <c r="A75" s="661">
        <f t="shared" si="7"/>
        <v>48</v>
      </c>
      <c r="B75" s="86" t="s">
        <v>133</v>
      </c>
      <c r="C75" s="101"/>
      <c r="D75" s="102"/>
      <c r="E75" s="151">
        <f>'[40]TB, Balok, Kolom'!S8</f>
        <v>740.26800000000003</v>
      </c>
      <c r="F75" s="140" t="s">
        <v>72</v>
      </c>
      <c r="G75" s="518">
        <v>6.8046977997485193E-3</v>
      </c>
      <c r="H75" s="536">
        <f t="shared" si="5"/>
        <v>11936.08273351469</v>
      </c>
      <c r="I75" s="662">
        <f t="shared" si="6"/>
        <v>8835900.0929734521</v>
      </c>
      <c r="J75" s="590"/>
    </row>
    <row r="76" spans="1:10">
      <c r="A76" s="661">
        <f t="shared" si="7"/>
        <v>49</v>
      </c>
      <c r="B76" s="86" t="s">
        <v>134</v>
      </c>
      <c r="C76" s="101"/>
      <c r="D76" s="102"/>
      <c r="E76" s="151">
        <f>'[40]TB, Balok, Kolom'!P60</f>
        <v>33.515999999999998</v>
      </c>
      <c r="F76" s="140" t="s">
        <v>14</v>
      </c>
      <c r="G76" s="518">
        <v>3.8921904375908644E-3</v>
      </c>
      <c r="H76" s="536">
        <f t="shared" si="5"/>
        <v>150793.92777216068</v>
      </c>
      <c r="I76" s="662">
        <f t="shared" si="6"/>
        <v>5054009.2832117369</v>
      </c>
      <c r="J76" s="590"/>
    </row>
    <row r="77" spans="1:10">
      <c r="A77" s="661">
        <f t="shared" si="7"/>
        <v>50</v>
      </c>
      <c r="B77" s="86" t="s">
        <v>142</v>
      </c>
      <c r="C77" s="101"/>
      <c r="D77" s="102"/>
      <c r="E77" s="151">
        <f>'[40]TB, Balok, Kolom'!Q60</f>
        <v>1.7289999999999992</v>
      </c>
      <c r="F77" s="140" t="s">
        <v>15</v>
      </c>
      <c r="G77" s="518">
        <v>1.4352071547063334E-3</v>
      </c>
      <c r="H77" s="536">
        <f t="shared" si="5"/>
        <v>1077858.0048503035</v>
      </c>
      <c r="I77" s="662">
        <f t="shared" si="6"/>
        <v>1863616.4903861741</v>
      </c>
      <c r="J77" s="590"/>
    </row>
    <row r="78" spans="1:10">
      <c r="A78" s="661">
        <f t="shared" si="7"/>
        <v>51</v>
      </c>
      <c r="B78" s="86" t="s">
        <v>135</v>
      </c>
      <c r="C78" s="101"/>
      <c r="D78" s="102"/>
      <c r="E78" s="151">
        <v>814.69</v>
      </c>
      <c r="F78" s="140" t="s">
        <v>72</v>
      </c>
      <c r="G78" s="518">
        <v>7.488800340521436E-3</v>
      </c>
      <c r="H78" s="536">
        <f t="shared" si="5"/>
        <v>11936.082733514693</v>
      </c>
      <c r="I78" s="662">
        <f t="shared" si="6"/>
        <v>9724207.2421670854</v>
      </c>
      <c r="J78" s="590"/>
    </row>
    <row r="79" spans="1:10">
      <c r="A79" s="661">
        <f t="shared" si="7"/>
        <v>52</v>
      </c>
      <c r="B79" s="86" t="s">
        <v>136</v>
      </c>
      <c r="C79" s="101"/>
      <c r="D79" s="102"/>
      <c r="E79" s="151">
        <f>'[40]TB, Balok, Kolom'!P85</f>
        <v>69.975000000000009</v>
      </c>
      <c r="F79" s="140" t="s">
        <v>14</v>
      </c>
      <c r="G79" s="518">
        <v>8.1261494769787803E-3</v>
      </c>
      <c r="H79" s="536">
        <f t="shared" si="5"/>
        <v>150793.92777216071</v>
      </c>
      <c r="I79" s="662">
        <f t="shared" si="6"/>
        <v>10551805.095856946</v>
      </c>
      <c r="J79" s="590"/>
    </row>
    <row r="80" spans="1:10">
      <c r="A80" s="661">
        <f t="shared" si="7"/>
        <v>53</v>
      </c>
      <c r="B80" s="86" t="s">
        <v>143</v>
      </c>
      <c r="C80" s="101"/>
      <c r="D80" s="102"/>
      <c r="E80" s="151">
        <f>'[40]TB, Balok, Kolom'!Q85</f>
        <v>4.1984999999999983</v>
      </c>
      <c r="F80" s="140" t="s">
        <v>15</v>
      </c>
      <c r="G80" s="518">
        <v>3.4850880503380804E-3</v>
      </c>
      <c r="H80" s="536">
        <f t="shared" si="5"/>
        <v>1077858.0048503035</v>
      </c>
      <c r="I80" s="662">
        <f t="shared" si="6"/>
        <v>4525386.8333639977</v>
      </c>
      <c r="J80" s="590"/>
    </row>
    <row r="81" spans="1:10">
      <c r="A81" s="661">
        <f t="shared" si="7"/>
        <v>54</v>
      </c>
      <c r="B81" s="86" t="s">
        <v>137</v>
      </c>
      <c r="C81" s="101"/>
      <c r="D81" s="102"/>
      <c r="E81" s="151">
        <f>'[40]TB, Balok, Kolom'!S10</f>
        <v>146.74412938267616</v>
      </c>
      <c r="F81" s="140" t="s">
        <v>72</v>
      </c>
      <c r="G81" s="518">
        <v>1.3489026330144064E-3</v>
      </c>
      <c r="H81" s="536">
        <f t="shared" si="5"/>
        <v>11936.08273351469</v>
      </c>
      <c r="I81" s="662">
        <f t="shared" si="6"/>
        <v>1751550.0689692067</v>
      </c>
      <c r="J81" s="590"/>
    </row>
    <row r="82" spans="1:10">
      <c r="A82" s="661">
        <f t="shared" si="7"/>
        <v>55</v>
      </c>
      <c r="B82" s="86" t="s">
        <v>138</v>
      </c>
      <c r="C82" s="101"/>
      <c r="D82" s="102"/>
      <c r="E82" s="151">
        <f>'[40]TB, Balok, Kolom'!Q205</f>
        <v>8.9840000000000018</v>
      </c>
      <c r="F82" s="140" t="s">
        <v>14</v>
      </c>
      <c r="G82" s="518">
        <v>1.0433058506777756E-3</v>
      </c>
      <c r="H82" s="536">
        <f t="shared" si="5"/>
        <v>150793.92777216068</v>
      </c>
      <c r="I82" s="662">
        <f t="shared" si="6"/>
        <v>1354732.6471050917</v>
      </c>
      <c r="J82" s="590"/>
    </row>
    <row r="83" spans="1:10">
      <c r="A83" s="661">
        <f t="shared" si="7"/>
        <v>56</v>
      </c>
      <c r="B83" s="86" t="s">
        <v>144</v>
      </c>
      <c r="C83" s="101"/>
      <c r="D83" s="102"/>
      <c r="E83" s="151">
        <f>'[40]TB, Balok, Kolom'!R205</f>
        <v>0.33690000000000009</v>
      </c>
      <c r="F83" s="140" t="s">
        <v>15</v>
      </c>
      <c r="G83" s="518">
        <v>2.7965372493959749E-4</v>
      </c>
      <c r="H83" s="536">
        <f t="shared" si="5"/>
        <v>1077858.0048503035</v>
      </c>
      <c r="I83" s="662">
        <f t="shared" si="6"/>
        <v>363130.36183406733</v>
      </c>
      <c r="J83" s="590"/>
    </row>
    <row r="84" spans="1:10">
      <c r="A84" s="661">
        <f t="shared" si="7"/>
        <v>57</v>
      </c>
      <c r="B84" s="86" t="s">
        <v>145</v>
      </c>
      <c r="C84" s="101"/>
      <c r="D84" s="102"/>
      <c r="E84" s="151">
        <f>'[40]Volume Wiremesh &amp; Lantai'!Q19</f>
        <v>1057.02</v>
      </c>
      <c r="F84" s="140" t="s">
        <v>72</v>
      </c>
      <c r="G84" s="518">
        <v>9.7163482256293395E-3</v>
      </c>
      <c r="H84" s="536">
        <f t="shared" si="5"/>
        <v>11936.08273351469</v>
      </c>
      <c r="I84" s="662">
        <f t="shared" si="6"/>
        <v>12616678.170979697</v>
      </c>
      <c r="J84" s="590"/>
    </row>
    <row r="85" spans="1:10">
      <c r="A85" s="661">
        <f t="shared" si="7"/>
        <v>58</v>
      </c>
      <c r="B85" s="86" t="s">
        <v>146</v>
      </c>
      <c r="C85" s="101"/>
      <c r="D85" s="102"/>
      <c r="E85" s="151">
        <f>'[40]Volume Wiremesh &amp; Lantai'!F9</f>
        <v>183.99700000000001</v>
      </c>
      <c r="F85" s="140" t="s">
        <v>14</v>
      </c>
      <c r="G85" s="518">
        <v>2.1367447307119175E-2</v>
      </c>
      <c r="H85" s="536">
        <f t="shared" si="5"/>
        <v>150793.92777216065</v>
      </c>
      <c r="I85" s="662">
        <f t="shared" si="6"/>
        <v>27745630.328294247</v>
      </c>
      <c r="J85" s="590"/>
    </row>
    <row r="86" spans="1:10" ht="16" thickBot="1">
      <c r="A86" s="663">
        <f t="shared" si="7"/>
        <v>59</v>
      </c>
      <c r="B86" s="93" t="s">
        <v>147</v>
      </c>
      <c r="C86" s="190"/>
      <c r="D86" s="191"/>
      <c r="E86" s="157">
        <f>'[40]Volume Wiremesh &amp; Lantai'!G9</f>
        <v>22.079639999999998</v>
      </c>
      <c r="F86" s="158" t="s">
        <v>15</v>
      </c>
      <c r="G86" s="519">
        <v>2.2399705677026482E-2</v>
      </c>
      <c r="H86" s="536">
        <f t="shared" si="5"/>
        <v>1317323.0098687701</v>
      </c>
      <c r="I86" s="664">
        <f t="shared" si="6"/>
        <v>29086017.821618889</v>
      </c>
      <c r="J86" s="590"/>
    </row>
    <row r="87" spans="1:10" ht="16" thickTop="1">
      <c r="A87" s="674"/>
      <c r="B87" s="550"/>
      <c r="C87" s="545"/>
      <c r="D87" s="546"/>
      <c r="E87" s="551"/>
      <c r="F87" s="552"/>
      <c r="G87" s="553"/>
      <c r="H87" s="528">
        <v>0</v>
      </c>
      <c r="I87" s="671">
        <f>SUM(I66:I86)</f>
        <v>197410130.1200406</v>
      </c>
      <c r="J87" s="593"/>
    </row>
    <row r="88" spans="1:10">
      <c r="A88" s="672"/>
      <c r="B88" s="63"/>
      <c r="C88" s="61"/>
      <c r="D88" s="64"/>
      <c r="E88" s="147"/>
      <c r="F88" s="148"/>
      <c r="G88" s="522"/>
      <c r="H88" s="231">
        <v>0</v>
      </c>
      <c r="I88" s="673"/>
      <c r="J88" s="594"/>
    </row>
    <row r="89" spans="1:10">
      <c r="A89" s="659" t="s">
        <v>8</v>
      </c>
      <c r="B89" s="537" t="s">
        <v>157</v>
      </c>
      <c r="C89" s="554"/>
      <c r="D89" s="555"/>
      <c r="E89" s="556"/>
      <c r="F89" s="557"/>
      <c r="G89" s="542"/>
      <c r="H89" s="543">
        <v>0</v>
      </c>
      <c r="I89" s="660"/>
      <c r="J89" s="595"/>
    </row>
    <row r="90" spans="1:10">
      <c r="A90" s="661">
        <v>1</v>
      </c>
      <c r="B90" s="86" t="s">
        <v>158</v>
      </c>
      <c r="C90" s="61"/>
      <c r="D90" s="64"/>
      <c r="E90" s="151">
        <v>1065</v>
      </c>
      <c r="F90" s="140" t="s">
        <v>72</v>
      </c>
      <c r="G90" s="518">
        <v>3.1506390627924617E-2</v>
      </c>
      <c r="H90" s="536">
        <f t="shared" ref="H90:H94" si="8">I90/E90</f>
        <v>38414.129793765365</v>
      </c>
      <c r="I90" s="662">
        <f t="shared" ref="I90:I94" si="9">$L$5*G90</f>
        <v>40911048.230360113</v>
      </c>
      <c r="J90" s="590"/>
    </row>
    <row r="91" spans="1:10">
      <c r="A91" s="661">
        <f t="shared" ref="A91" si="10">A90+1</f>
        <v>2</v>
      </c>
      <c r="B91" s="86" t="s">
        <v>159</v>
      </c>
      <c r="C91" s="61"/>
      <c r="D91" s="64"/>
      <c r="E91" s="151">
        <v>2340</v>
      </c>
      <c r="F91" s="140" t="s">
        <v>72</v>
      </c>
      <c r="G91" s="518">
        <v>6.9225308985299161E-2</v>
      </c>
      <c r="H91" s="536">
        <f t="shared" si="8"/>
        <v>38414.129793765373</v>
      </c>
      <c r="I91" s="662">
        <f t="shared" si="9"/>
        <v>89889063.717410967</v>
      </c>
      <c r="J91" s="590"/>
    </row>
    <row r="92" spans="1:10">
      <c r="A92" s="661">
        <v>3</v>
      </c>
      <c r="B92" s="86" t="s">
        <v>161</v>
      </c>
      <c r="C92" s="61"/>
      <c r="D92" s="64"/>
      <c r="E92" s="151">
        <v>742.4</v>
      </c>
      <c r="F92" s="140" t="s">
        <v>72</v>
      </c>
      <c r="G92" s="518">
        <v>2.1962764696874401E-2</v>
      </c>
      <c r="H92" s="536">
        <f t="shared" si="8"/>
        <v>38414.129793765373</v>
      </c>
      <c r="I92" s="662">
        <f t="shared" si="9"/>
        <v>28518649.95889141</v>
      </c>
      <c r="J92" s="590"/>
    </row>
    <row r="93" spans="1:10">
      <c r="A93" s="661">
        <v>4</v>
      </c>
      <c r="B93" s="86" t="s">
        <v>160</v>
      </c>
      <c r="C93" s="61"/>
      <c r="D93" s="64"/>
      <c r="E93" s="151">
        <v>1184.4000000000001</v>
      </c>
      <c r="F93" s="140" t="s">
        <v>72</v>
      </c>
      <c r="G93" s="518">
        <v>3.5038656394097582E-2</v>
      </c>
      <c r="H93" s="536">
        <f t="shared" si="8"/>
        <v>38414.129793765373</v>
      </c>
      <c r="I93" s="662">
        <f t="shared" si="9"/>
        <v>45497695.327735707</v>
      </c>
      <c r="J93" s="590"/>
    </row>
    <row r="94" spans="1:10" ht="16" thickBot="1">
      <c r="A94" s="663">
        <v>5</v>
      </c>
      <c r="B94" s="93" t="s">
        <v>162</v>
      </c>
      <c r="C94" s="208"/>
      <c r="D94" s="314"/>
      <c r="E94" s="157">
        <f>0.25*0.25*2.65*10</f>
        <v>1.65625</v>
      </c>
      <c r="F94" s="158" t="s">
        <v>15</v>
      </c>
      <c r="G94" s="519">
        <v>1.8994219730482831E-3</v>
      </c>
      <c r="H94" s="536">
        <f t="shared" si="8"/>
        <v>1489146.8268698538</v>
      </c>
      <c r="I94" s="664">
        <f t="shared" si="9"/>
        <v>2466399.4320031954</v>
      </c>
      <c r="J94" s="590"/>
    </row>
    <row r="95" spans="1:10" ht="16" thickTop="1">
      <c r="A95" s="675"/>
      <c r="B95" s="530"/>
      <c r="C95" s="531"/>
      <c r="D95" s="532"/>
      <c r="E95" s="533"/>
      <c r="F95" s="529"/>
      <c r="G95" s="553"/>
      <c r="H95" s="528">
        <v>0</v>
      </c>
      <c r="I95" s="666">
        <f>SUM(I90:I94)</f>
        <v>207282856.66640139</v>
      </c>
      <c r="J95" s="591"/>
    </row>
    <row r="96" spans="1:10">
      <c r="A96" s="672"/>
      <c r="B96" s="63"/>
      <c r="C96" s="61"/>
      <c r="D96" s="64"/>
      <c r="E96" s="147"/>
      <c r="F96" s="148"/>
      <c r="G96" s="522"/>
      <c r="H96" s="231"/>
      <c r="I96" s="676"/>
      <c r="J96" s="594"/>
    </row>
    <row r="97" spans="1:10">
      <c r="A97" s="659" t="s">
        <v>9</v>
      </c>
      <c r="B97" s="537" t="s">
        <v>43</v>
      </c>
      <c r="C97" s="554"/>
      <c r="D97" s="555"/>
      <c r="E97" s="556"/>
      <c r="F97" s="557"/>
      <c r="G97" s="542"/>
      <c r="H97" s="543">
        <v>0</v>
      </c>
      <c r="I97" s="660">
        <f>E97*H97</f>
        <v>0</v>
      </c>
      <c r="J97" s="595"/>
    </row>
    <row r="98" spans="1:10">
      <c r="A98" s="661">
        <v>1</v>
      </c>
      <c r="B98" s="86" t="s">
        <v>240</v>
      </c>
      <c r="C98" s="61"/>
      <c r="D98" s="64"/>
      <c r="E98" s="151">
        <f>497</f>
        <v>497</v>
      </c>
      <c r="F98" s="140" t="s">
        <v>14</v>
      </c>
      <c r="G98" s="518">
        <v>3.5580510274987501E-2</v>
      </c>
      <c r="H98" s="536">
        <f t="shared" ref="H98:H108" si="11">I98/E98</f>
        <v>92960.347267749035</v>
      </c>
      <c r="I98" s="662">
        <f t="shared" ref="I98:I108" si="12">$L$5*G98</f>
        <v>46201292.592071272</v>
      </c>
      <c r="J98" s="590"/>
    </row>
    <row r="99" spans="1:10">
      <c r="A99" s="661">
        <f t="shared" ref="A99" si="13">A98+1</f>
        <v>2</v>
      </c>
      <c r="B99" s="86" t="s">
        <v>48</v>
      </c>
      <c r="C99" s="61"/>
      <c r="D99" s="64"/>
      <c r="E99" s="151">
        <f>E98*2</f>
        <v>994</v>
      </c>
      <c r="F99" s="140" t="s">
        <v>14</v>
      </c>
      <c r="G99" s="518">
        <v>3.8820114498495352E-2</v>
      </c>
      <c r="H99" s="536">
        <f t="shared" si="11"/>
        <v>50712.191827259769</v>
      </c>
      <c r="I99" s="662">
        <f t="shared" si="12"/>
        <v>50407918.676296212</v>
      </c>
      <c r="J99" s="590"/>
    </row>
    <row r="100" spans="1:10">
      <c r="A100" s="661">
        <v>3</v>
      </c>
      <c r="B100" s="86" t="s">
        <v>172</v>
      </c>
      <c r="C100" s="61"/>
      <c r="D100" s="64"/>
      <c r="E100" s="151">
        <v>994</v>
      </c>
      <c r="F100" s="140" t="s">
        <v>14</v>
      </c>
      <c r="G100" s="518">
        <v>2.4740595204620294E-2</v>
      </c>
      <c r="H100" s="536">
        <f t="shared" si="11"/>
        <v>32319.58035533144</v>
      </c>
      <c r="I100" s="662">
        <f t="shared" si="12"/>
        <v>32125662.873199452</v>
      </c>
      <c r="J100" s="590"/>
    </row>
    <row r="101" spans="1:10">
      <c r="A101" s="661">
        <v>3</v>
      </c>
      <c r="B101" s="86" t="s">
        <v>71</v>
      </c>
      <c r="C101" s="61"/>
      <c r="D101" s="64"/>
      <c r="E101" s="151">
        <v>314.55</v>
      </c>
      <c r="F101" s="140" t="s">
        <v>13</v>
      </c>
      <c r="G101" s="518">
        <v>1.6557041999867038E-2</v>
      </c>
      <c r="H101" s="536">
        <f t="shared" si="11"/>
        <v>68349.448535454925</v>
      </c>
      <c r="I101" s="662">
        <f t="shared" si="12"/>
        <v>21499319.036827348</v>
      </c>
      <c r="J101" s="590"/>
    </row>
    <row r="102" spans="1:10">
      <c r="A102" s="661">
        <v>4</v>
      </c>
      <c r="B102" s="86" t="s">
        <v>52</v>
      </c>
      <c r="C102" s="61"/>
      <c r="D102" s="64"/>
      <c r="E102" s="151">
        <v>138.72999999999999</v>
      </c>
      <c r="F102" s="140" t="s">
        <v>14</v>
      </c>
      <c r="G102" s="518">
        <v>1.6509588428884621E-2</v>
      </c>
      <c r="H102" s="536">
        <f t="shared" si="11"/>
        <v>154528.22442807382</v>
      </c>
      <c r="I102" s="662">
        <f t="shared" si="12"/>
        <v>21437700.574906681</v>
      </c>
      <c r="J102" s="590"/>
    </row>
    <row r="103" spans="1:10">
      <c r="A103" s="661">
        <v>5</v>
      </c>
      <c r="B103" s="86" t="s">
        <v>53</v>
      </c>
      <c r="C103" s="61"/>
      <c r="D103" s="64"/>
      <c r="E103" s="151">
        <v>200</v>
      </c>
      <c r="F103" s="140" t="s">
        <v>14</v>
      </c>
      <c r="G103" s="518">
        <v>1.4175884587780997E-2</v>
      </c>
      <c r="H103" s="536">
        <f t="shared" si="11"/>
        <v>92036.930686168125</v>
      </c>
      <c r="I103" s="662">
        <f t="shared" si="12"/>
        <v>18407386.137233626</v>
      </c>
      <c r="J103" s="590"/>
    </row>
    <row r="104" spans="1:10">
      <c r="A104" s="661">
        <v>6</v>
      </c>
      <c r="B104" s="86" t="s">
        <v>75</v>
      </c>
      <c r="C104" s="61"/>
      <c r="D104" s="64"/>
      <c r="E104" s="151">
        <f>E103</f>
        <v>200</v>
      </c>
      <c r="F104" s="140" t="s">
        <v>14</v>
      </c>
      <c r="G104" s="518">
        <v>7.9531164280078042E-3</v>
      </c>
      <c r="H104" s="536">
        <f t="shared" si="11"/>
        <v>51635.608408840671</v>
      </c>
      <c r="I104" s="662">
        <f t="shared" si="12"/>
        <v>10327121.681768134</v>
      </c>
      <c r="J104" s="590"/>
    </row>
    <row r="105" spans="1:10">
      <c r="A105" s="661">
        <v>7</v>
      </c>
      <c r="B105" s="86" t="s">
        <v>61</v>
      </c>
      <c r="C105" s="61"/>
      <c r="D105" s="64"/>
      <c r="E105" s="151">
        <f>0.25*8*1</f>
        <v>2</v>
      </c>
      <c r="F105" s="140" t="s">
        <v>15</v>
      </c>
      <c r="G105" s="518">
        <v>1.6356242877443711E-3</v>
      </c>
      <c r="H105" s="536">
        <f t="shared" si="11"/>
        <v>1061929.068818033</v>
      </c>
      <c r="I105" s="662">
        <f t="shared" si="12"/>
        <v>2123858.1376360659</v>
      </c>
      <c r="J105" s="590"/>
    </row>
    <row r="106" spans="1:10">
      <c r="A106" s="661">
        <v>8</v>
      </c>
      <c r="B106" s="86" t="s">
        <v>73</v>
      </c>
      <c r="C106" s="61"/>
      <c r="D106" s="64"/>
      <c r="E106" s="151">
        <v>162.80000000000001</v>
      </c>
      <c r="F106" s="140" t="s">
        <v>72</v>
      </c>
      <c r="G106" s="518">
        <v>5.4413664348281878E-3</v>
      </c>
      <c r="H106" s="536">
        <f t="shared" si="11"/>
        <v>43400.579334302223</v>
      </c>
      <c r="I106" s="662">
        <f t="shared" si="12"/>
        <v>7065614.3156244019</v>
      </c>
      <c r="J106" s="590"/>
    </row>
    <row r="107" spans="1:10">
      <c r="A107" s="661">
        <v>9</v>
      </c>
      <c r="B107" s="86" t="s">
        <v>55</v>
      </c>
      <c r="C107" s="61"/>
      <c r="D107" s="64"/>
      <c r="E107" s="157">
        <f>80*0.1</f>
        <v>8</v>
      </c>
      <c r="F107" s="158" t="s">
        <v>15</v>
      </c>
      <c r="G107" s="519">
        <v>6.5424971509774844E-3</v>
      </c>
      <c r="H107" s="536">
        <f t="shared" si="11"/>
        <v>1061929.068818033</v>
      </c>
      <c r="I107" s="662">
        <f t="shared" si="12"/>
        <v>8495432.5505442638</v>
      </c>
      <c r="J107" s="590"/>
    </row>
    <row r="108" spans="1:10" ht="16" thickBot="1">
      <c r="A108" s="663">
        <v>10</v>
      </c>
      <c r="B108" s="93" t="s">
        <v>74</v>
      </c>
      <c r="C108" s="208"/>
      <c r="D108" s="314"/>
      <c r="E108" s="157">
        <v>80</v>
      </c>
      <c r="F108" s="158" t="s">
        <v>14</v>
      </c>
      <c r="G108" s="519">
        <v>3.4134767744230356E-3</v>
      </c>
      <c r="H108" s="536">
        <f t="shared" si="11"/>
        <v>55404.994894853895</v>
      </c>
      <c r="I108" s="664">
        <f t="shared" si="12"/>
        <v>4432399.5915883118</v>
      </c>
      <c r="J108" s="590"/>
    </row>
    <row r="109" spans="1:10" s="114" customFormat="1" ht="16" thickTop="1">
      <c r="A109" s="677"/>
      <c r="B109" s="559"/>
      <c r="C109" s="560"/>
      <c r="D109" s="561"/>
      <c r="E109" s="547"/>
      <c r="F109" s="558"/>
      <c r="G109" s="553"/>
      <c r="H109" s="528">
        <v>0</v>
      </c>
      <c r="I109" s="678">
        <f>SUM(I98:I108)</f>
        <v>222523706.16769576</v>
      </c>
      <c r="J109" s="596"/>
    </row>
    <row r="110" spans="1:10" s="114" customFormat="1">
      <c r="A110" s="679"/>
      <c r="B110" s="394"/>
      <c r="C110" s="388"/>
      <c r="D110" s="389"/>
      <c r="E110" s="159"/>
      <c r="F110" s="395"/>
      <c r="G110" s="523"/>
      <c r="H110" s="231">
        <v>0</v>
      </c>
      <c r="I110" s="680"/>
      <c r="J110" s="597"/>
    </row>
    <row r="111" spans="1:10">
      <c r="A111" s="681" t="s">
        <v>10</v>
      </c>
      <c r="B111" s="537" t="s">
        <v>19</v>
      </c>
      <c r="C111" s="554"/>
      <c r="D111" s="555"/>
      <c r="E111" s="562"/>
      <c r="F111" s="563"/>
      <c r="G111" s="564"/>
      <c r="H111" s="543">
        <v>0</v>
      </c>
      <c r="I111" s="660"/>
      <c r="J111" s="595"/>
    </row>
    <row r="112" spans="1:10">
      <c r="A112" s="669">
        <v>1</v>
      </c>
      <c r="B112" s="86" t="s">
        <v>167</v>
      </c>
      <c r="C112" s="61"/>
      <c r="D112" s="64"/>
      <c r="E112" s="151">
        <v>48</v>
      </c>
      <c r="F112" s="140" t="s">
        <v>17</v>
      </c>
      <c r="G112" s="518">
        <v>5.3591585358441661E-3</v>
      </c>
      <c r="H112" s="536">
        <f t="shared" ref="H112:H115" si="14">I112/E112</f>
        <v>144976.40330820103</v>
      </c>
      <c r="I112" s="662">
        <f t="shared" ref="I112:I115" si="15">$L$5*G112</f>
        <v>6958867.3587936498</v>
      </c>
      <c r="J112" s="590"/>
    </row>
    <row r="113" spans="1:10">
      <c r="A113" s="669">
        <f t="shared" ref="A113:A115" si="16">A112+1</f>
        <v>2</v>
      </c>
      <c r="B113" s="86" t="s">
        <v>168</v>
      </c>
      <c r="C113" s="61"/>
      <c r="D113" s="64"/>
      <c r="E113" s="151">
        <v>15</v>
      </c>
      <c r="F113" s="140" t="s">
        <v>17</v>
      </c>
      <c r="G113" s="518">
        <v>1.6747370424513017E-3</v>
      </c>
      <c r="H113" s="536">
        <f t="shared" si="14"/>
        <v>144976.40330820103</v>
      </c>
      <c r="I113" s="662">
        <f t="shared" si="15"/>
        <v>2174646.0496230153</v>
      </c>
      <c r="J113" s="590"/>
    </row>
    <row r="114" spans="1:10">
      <c r="A114" s="669">
        <f t="shared" si="16"/>
        <v>3</v>
      </c>
      <c r="B114" s="86" t="s">
        <v>169</v>
      </c>
      <c r="C114" s="61"/>
      <c r="D114" s="64"/>
      <c r="E114" s="151">
        <v>11</v>
      </c>
      <c r="F114" s="140" t="s">
        <v>17</v>
      </c>
      <c r="G114" s="518">
        <v>1.2281404977976212E-3</v>
      </c>
      <c r="H114" s="536">
        <f t="shared" si="14"/>
        <v>144976.403308201</v>
      </c>
      <c r="I114" s="662">
        <f t="shared" si="15"/>
        <v>1594740.4363902111</v>
      </c>
      <c r="J114" s="590"/>
    </row>
    <row r="115" spans="1:10" ht="16" thickBot="1">
      <c r="A115" s="682">
        <f t="shared" si="16"/>
        <v>4</v>
      </c>
      <c r="B115" s="93" t="s">
        <v>170</v>
      </c>
      <c r="C115" s="208"/>
      <c r="D115" s="314"/>
      <c r="E115" s="157">
        <v>26</v>
      </c>
      <c r="F115" s="158" t="s">
        <v>16</v>
      </c>
      <c r="G115" s="519">
        <v>2.9028775402489232E-3</v>
      </c>
      <c r="H115" s="536">
        <f t="shared" si="14"/>
        <v>144976.40330820103</v>
      </c>
      <c r="I115" s="664">
        <f t="shared" si="15"/>
        <v>3769386.4860132267</v>
      </c>
      <c r="J115" s="590"/>
    </row>
    <row r="116" spans="1:10" s="114" customFormat="1" ht="16" thickTop="1">
      <c r="A116" s="683"/>
      <c r="B116" s="566"/>
      <c r="C116" s="560"/>
      <c r="D116" s="561"/>
      <c r="E116" s="567"/>
      <c r="F116" s="565"/>
      <c r="G116" s="549"/>
      <c r="H116" s="528">
        <v>0</v>
      </c>
      <c r="I116" s="678">
        <f>SUM(I112:I115)</f>
        <v>14497640.330820104</v>
      </c>
      <c r="J116" s="596"/>
    </row>
    <row r="117" spans="1:10" s="114" customFormat="1">
      <c r="A117" s="679"/>
      <c r="B117" s="394"/>
      <c r="C117" s="388"/>
      <c r="D117" s="389"/>
      <c r="E117" s="159"/>
      <c r="F117" s="395"/>
      <c r="G117" s="523"/>
      <c r="H117" s="231"/>
      <c r="I117" s="680"/>
      <c r="J117" s="597"/>
    </row>
    <row r="118" spans="1:10">
      <c r="A118" s="681" t="s">
        <v>21</v>
      </c>
      <c r="B118" s="537" t="s">
        <v>12</v>
      </c>
      <c r="C118" s="538"/>
      <c r="D118" s="539"/>
      <c r="E118" s="562"/>
      <c r="F118" s="563"/>
      <c r="G118" s="564"/>
      <c r="H118" s="543">
        <v>0</v>
      </c>
      <c r="I118" s="668"/>
      <c r="J118" s="592"/>
    </row>
    <row r="119" spans="1:10">
      <c r="A119" s="669">
        <v>1</v>
      </c>
      <c r="B119" s="86" t="s">
        <v>32</v>
      </c>
      <c r="C119" s="101"/>
      <c r="D119" s="102"/>
      <c r="E119" s="151">
        <v>126</v>
      </c>
      <c r="F119" s="140" t="s">
        <v>13</v>
      </c>
      <c r="G119" s="518">
        <v>1.6655727106811697E-2</v>
      </c>
      <c r="H119" s="536">
        <f t="shared" ref="H119:H123" si="17">I119/E119</f>
        <v>171646.52101742054</v>
      </c>
      <c r="I119" s="662">
        <f t="shared" ref="I119:I123" si="18">$L$5*G119</f>
        <v>21627461.648194987</v>
      </c>
      <c r="J119" s="590"/>
    </row>
    <row r="120" spans="1:10">
      <c r="A120" s="669">
        <f>A119+1</f>
        <v>2</v>
      </c>
      <c r="B120" s="86" t="s">
        <v>34</v>
      </c>
      <c r="C120" s="101"/>
      <c r="D120" s="102"/>
      <c r="E120" s="151">
        <v>108.5</v>
      </c>
      <c r="F120" s="140" t="s">
        <v>13</v>
      </c>
      <c r="G120" s="518">
        <v>1.1613787945601625E-2</v>
      </c>
      <c r="H120" s="536">
        <f t="shared" si="17"/>
        <v>138990.81702639366</v>
      </c>
      <c r="I120" s="662">
        <f t="shared" si="18"/>
        <v>15080503.647363711</v>
      </c>
      <c r="J120" s="590"/>
    </row>
    <row r="121" spans="1:10">
      <c r="A121" s="669">
        <f t="shared" ref="A121:A123" si="19">A120+1</f>
        <v>3</v>
      </c>
      <c r="B121" s="86" t="s">
        <v>35</v>
      </c>
      <c r="C121" s="101"/>
      <c r="D121" s="102"/>
      <c r="E121" s="151">
        <v>133.30000000000001</v>
      </c>
      <c r="F121" s="140" t="s">
        <v>13</v>
      </c>
      <c r="G121" s="518">
        <v>5.8583368456438549E-3</v>
      </c>
      <c r="H121" s="536">
        <f t="shared" si="17"/>
        <v>57067.144741699514</v>
      </c>
      <c r="I121" s="662">
        <f t="shared" si="18"/>
        <v>7607050.3940685457</v>
      </c>
      <c r="J121" s="590"/>
    </row>
    <row r="122" spans="1:10">
      <c r="A122" s="669">
        <f t="shared" si="19"/>
        <v>4</v>
      </c>
      <c r="B122" s="86" t="s">
        <v>171</v>
      </c>
      <c r="C122" s="101"/>
      <c r="D122" s="102"/>
      <c r="E122" s="151">
        <f>E121/2</f>
        <v>66.650000000000006</v>
      </c>
      <c r="F122" s="140" t="s">
        <v>13</v>
      </c>
      <c r="G122" s="518">
        <v>2.2656027606939829E-3</v>
      </c>
      <c r="H122" s="536">
        <f t="shared" si="17"/>
        <v>44139.31259956694</v>
      </c>
      <c r="I122" s="662">
        <f t="shared" si="18"/>
        <v>2941885.1847611368</v>
      </c>
      <c r="J122" s="590"/>
    </row>
    <row r="123" spans="1:10" ht="16" thickBot="1">
      <c r="A123" s="682">
        <f t="shared" si="19"/>
        <v>5</v>
      </c>
      <c r="B123" s="93" t="s">
        <v>33</v>
      </c>
      <c r="C123" s="190"/>
      <c r="D123" s="191"/>
      <c r="E123" s="157">
        <f>0.75*15</f>
        <v>11.25</v>
      </c>
      <c r="F123" s="158" t="s">
        <v>13</v>
      </c>
      <c r="G123" s="519">
        <v>2.8241186750890585E-4</v>
      </c>
      <c r="H123" s="536">
        <f t="shared" si="17"/>
        <v>32596.605329805712</v>
      </c>
      <c r="I123" s="664">
        <f t="shared" si="18"/>
        <v>366711.80996031425</v>
      </c>
      <c r="J123" s="590"/>
    </row>
    <row r="124" spans="1:10" s="114" customFormat="1" ht="16" thickTop="1">
      <c r="A124" s="683"/>
      <c r="B124" s="566"/>
      <c r="C124" s="560"/>
      <c r="D124" s="561"/>
      <c r="E124" s="567"/>
      <c r="F124" s="565"/>
      <c r="G124" s="549"/>
      <c r="H124" s="528">
        <v>0</v>
      </c>
      <c r="I124" s="678">
        <f>SUM(I119:I123)</f>
        <v>47623612.684348695</v>
      </c>
      <c r="J124" s="596"/>
    </row>
    <row r="125" spans="1:10" s="114" customFormat="1">
      <c r="A125" s="679"/>
      <c r="B125" s="394"/>
      <c r="C125" s="388"/>
      <c r="D125" s="389"/>
      <c r="E125" s="159"/>
      <c r="F125" s="395"/>
      <c r="G125" s="523"/>
      <c r="H125" s="231">
        <v>0</v>
      </c>
      <c r="I125" s="680"/>
      <c r="J125" s="597"/>
    </row>
    <row r="126" spans="1:10" s="114" customFormat="1">
      <c r="A126" s="679"/>
      <c r="B126" s="394"/>
      <c r="C126" s="388"/>
      <c r="D126" s="389"/>
      <c r="E126" s="151"/>
      <c r="F126" s="399"/>
      <c r="G126" s="518"/>
      <c r="H126" s="231">
        <v>0</v>
      </c>
      <c r="I126" s="684"/>
      <c r="J126" s="598"/>
    </row>
    <row r="127" spans="1:10">
      <c r="A127" s="681" t="s">
        <v>22</v>
      </c>
      <c r="B127" s="537" t="s">
        <v>20</v>
      </c>
      <c r="C127" s="554"/>
      <c r="D127" s="555"/>
      <c r="E127" s="562"/>
      <c r="F127" s="563"/>
      <c r="G127" s="564"/>
      <c r="H127" s="543">
        <v>0</v>
      </c>
      <c r="I127" s="660"/>
      <c r="J127" s="595"/>
    </row>
    <row r="128" spans="1:10">
      <c r="A128" s="669">
        <v>1</v>
      </c>
      <c r="B128" s="86" t="s">
        <v>189</v>
      </c>
      <c r="C128" s="61"/>
      <c r="D128" s="64"/>
      <c r="E128" s="151">
        <f>(512+585.6)*2</f>
        <v>2195.1999999999998</v>
      </c>
      <c r="F128" s="140" t="s">
        <v>72</v>
      </c>
      <c r="G128" s="518">
        <v>5.7510802851763208E-2</v>
      </c>
      <c r="H128" s="536">
        <f t="shared" ref="H128:H134" si="20">I128/E128</f>
        <v>34018.666865440289</v>
      </c>
      <c r="I128" s="662">
        <f t="shared" ref="I128:I134" si="21">$L$5*G128</f>
        <v>74677777.50301452</v>
      </c>
      <c r="J128" s="590"/>
    </row>
    <row r="129" spans="1:10">
      <c r="A129" s="669">
        <f>A128+1</f>
        <v>2</v>
      </c>
      <c r="B129" s="86" t="s">
        <v>76</v>
      </c>
      <c r="C129" s="61"/>
      <c r="D129" s="64"/>
      <c r="E129" s="151">
        <f>(7.2*17.9)+(8.3*17.9)</f>
        <v>277.45</v>
      </c>
      <c r="F129" s="140" t="s">
        <v>14</v>
      </c>
      <c r="G129" s="518">
        <v>3.8080071311518443E-2</v>
      </c>
      <c r="H129" s="536">
        <f t="shared" si="20"/>
        <v>178219.40024511336</v>
      </c>
      <c r="I129" s="662">
        <f t="shared" si="21"/>
        <v>49446972.598006696</v>
      </c>
      <c r="J129" s="590"/>
    </row>
    <row r="130" spans="1:10">
      <c r="A130" s="669">
        <f t="shared" ref="A130:A131" si="22">A129+1</f>
        <v>3</v>
      </c>
      <c r="B130" s="86" t="s">
        <v>77</v>
      </c>
      <c r="C130" s="61"/>
      <c r="D130" s="64"/>
      <c r="E130" s="157">
        <v>17.899999999999999</v>
      </c>
      <c r="F130" s="158" t="s">
        <v>13</v>
      </c>
      <c r="G130" s="519">
        <v>2.3002068814946958E-3</v>
      </c>
      <c r="H130" s="536">
        <f t="shared" si="20"/>
        <v>166861.3762916683</v>
      </c>
      <c r="I130" s="662">
        <f t="shared" si="21"/>
        <v>2986818.6356208622</v>
      </c>
      <c r="J130" s="590"/>
    </row>
    <row r="131" spans="1:10">
      <c r="A131" s="669">
        <f t="shared" si="22"/>
        <v>4</v>
      </c>
      <c r="B131" s="86" t="s">
        <v>50</v>
      </c>
      <c r="C131" s="61"/>
      <c r="D131" s="64"/>
      <c r="E131" s="157">
        <f>E130*2</f>
        <v>35.799999999999997</v>
      </c>
      <c r="F131" s="158" t="s">
        <v>13</v>
      </c>
      <c r="G131" s="519">
        <v>3.3096501892010016E-3</v>
      </c>
      <c r="H131" s="536">
        <f t="shared" si="20"/>
        <v>120044.15560551677</v>
      </c>
      <c r="I131" s="662">
        <f t="shared" si="21"/>
        <v>4297580.7706775004</v>
      </c>
      <c r="J131" s="590"/>
    </row>
    <row r="132" spans="1:10">
      <c r="A132" s="669">
        <v>5</v>
      </c>
      <c r="B132" s="86" t="s">
        <v>49</v>
      </c>
      <c r="C132" s="61"/>
      <c r="D132" s="64"/>
      <c r="E132" s="157">
        <v>31</v>
      </c>
      <c r="F132" s="158" t="s">
        <v>13</v>
      </c>
      <c r="G132" s="519">
        <v>2.3588546793252519E-3</v>
      </c>
      <c r="H132" s="536">
        <f t="shared" si="20"/>
        <v>98805.574229156118</v>
      </c>
      <c r="I132" s="662">
        <f t="shared" si="21"/>
        <v>3062972.8011038397</v>
      </c>
      <c r="J132" s="590"/>
    </row>
    <row r="133" spans="1:10">
      <c r="A133" s="669">
        <v>6</v>
      </c>
      <c r="B133" s="86" t="s">
        <v>78</v>
      </c>
      <c r="C133" s="61"/>
      <c r="D133" s="64"/>
      <c r="E133" s="157">
        <f>(4.3*4.1)</f>
        <v>17.63</v>
      </c>
      <c r="F133" s="158" t="s">
        <v>14</v>
      </c>
      <c r="G133" s="519">
        <v>2.4899307651811069E-3</v>
      </c>
      <c r="H133" s="536">
        <f t="shared" si="20"/>
        <v>183390.53310196637</v>
      </c>
      <c r="I133" s="662">
        <f t="shared" si="21"/>
        <v>3233175.0985876671</v>
      </c>
      <c r="J133" s="590"/>
    </row>
    <row r="134" spans="1:10" ht="16" thickBot="1">
      <c r="A134" s="682">
        <v>7</v>
      </c>
      <c r="B134" s="93" t="s">
        <v>79</v>
      </c>
      <c r="C134" s="208"/>
      <c r="D134" s="314"/>
      <c r="E134" s="157">
        <f>(4.3*4.1)</f>
        <v>17.63</v>
      </c>
      <c r="F134" s="158" t="s">
        <v>14</v>
      </c>
      <c r="G134" s="519">
        <v>2.9462926979736156E-3</v>
      </c>
      <c r="H134" s="536">
        <f t="shared" si="20"/>
        <v>217002.89667151109</v>
      </c>
      <c r="I134" s="664">
        <f t="shared" si="21"/>
        <v>3825761.06831874</v>
      </c>
      <c r="J134" s="590"/>
    </row>
    <row r="135" spans="1:10" s="114" customFormat="1" ht="16" thickTop="1">
      <c r="A135" s="683"/>
      <c r="B135" s="566"/>
      <c r="C135" s="560"/>
      <c r="D135" s="561"/>
      <c r="E135" s="567"/>
      <c r="F135" s="565"/>
      <c r="G135" s="549"/>
      <c r="H135" s="528">
        <v>0</v>
      </c>
      <c r="I135" s="678">
        <f>SUM(I128:I134)</f>
        <v>141531058.47532985</v>
      </c>
      <c r="J135" s="596"/>
    </row>
    <row r="136" spans="1:10" s="114" customFormat="1">
      <c r="A136" s="679"/>
      <c r="B136" s="394"/>
      <c r="C136" s="388"/>
      <c r="D136" s="389"/>
      <c r="E136" s="159"/>
      <c r="F136" s="395"/>
      <c r="G136" s="523"/>
      <c r="H136" s="231">
        <v>0</v>
      </c>
      <c r="I136" s="680"/>
      <c r="J136" s="597"/>
    </row>
    <row r="137" spans="1:10">
      <c r="A137" s="681" t="s">
        <v>11</v>
      </c>
      <c r="B137" s="537" t="s">
        <v>192</v>
      </c>
      <c r="C137" s="568"/>
      <c r="D137" s="569"/>
      <c r="E137" s="570"/>
      <c r="F137" s="571"/>
      <c r="G137" s="572"/>
      <c r="H137" s="543">
        <v>0</v>
      </c>
      <c r="I137" s="685"/>
      <c r="J137" s="599"/>
    </row>
    <row r="138" spans="1:10">
      <c r="A138" s="669"/>
      <c r="B138" s="86" t="s">
        <v>191</v>
      </c>
      <c r="C138" s="61"/>
      <c r="D138" s="64"/>
      <c r="E138" s="171" t="s">
        <v>198</v>
      </c>
      <c r="F138" s="154" t="s">
        <v>15</v>
      </c>
      <c r="G138" s="524">
        <v>1.0456304283611577E-2</v>
      </c>
      <c r="H138" s="536">
        <f t="shared" ref="H138:H139" si="23">I138/E138</f>
        <v>104346.07371864151</v>
      </c>
      <c r="I138" s="662">
        <f t="shared" ref="I138:I139" si="24">$L$5*G138</f>
        <v>13577511.112269633</v>
      </c>
      <c r="J138" s="590"/>
    </row>
    <row r="139" spans="1:10" ht="16" thickBot="1">
      <c r="A139" s="682"/>
      <c r="B139" s="93" t="s">
        <v>190</v>
      </c>
      <c r="C139" s="208"/>
      <c r="D139" s="314"/>
      <c r="E139" s="339">
        <v>12</v>
      </c>
      <c r="F139" s="187" t="s">
        <v>14</v>
      </c>
      <c r="G139" s="525">
        <v>8.5336919360575886E-3</v>
      </c>
      <c r="H139" s="536">
        <f t="shared" si="23"/>
        <v>923416.58158089826</v>
      </c>
      <c r="I139" s="664">
        <f t="shared" si="24"/>
        <v>11080998.978970779</v>
      </c>
      <c r="J139" s="590"/>
    </row>
    <row r="140" spans="1:10" s="114" customFormat="1" ht="16" thickTop="1">
      <c r="A140" s="683"/>
      <c r="B140" s="566"/>
      <c r="C140" s="560"/>
      <c r="D140" s="561"/>
      <c r="E140" s="567"/>
      <c r="F140" s="565"/>
      <c r="G140" s="549"/>
      <c r="H140" s="528">
        <v>0</v>
      </c>
      <c r="I140" s="678">
        <f>SUM(I138:I139)</f>
        <v>24658510.091240413</v>
      </c>
      <c r="J140" s="596"/>
    </row>
    <row r="141" spans="1:10" s="114" customFormat="1">
      <c r="A141" s="679"/>
      <c r="B141" s="394"/>
      <c r="C141" s="388"/>
      <c r="D141" s="389"/>
      <c r="E141" s="151"/>
      <c r="F141" s="399"/>
      <c r="G141" s="523"/>
      <c r="H141" s="231"/>
      <c r="I141" s="680"/>
      <c r="J141" s="597"/>
    </row>
    <row r="142" spans="1:10">
      <c r="A142" s="681" t="s">
        <v>31</v>
      </c>
      <c r="B142" s="537" t="s">
        <v>44</v>
      </c>
      <c r="C142" s="554"/>
      <c r="D142" s="555"/>
      <c r="E142" s="562"/>
      <c r="F142" s="563"/>
      <c r="G142" s="564"/>
      <c r="H142" s="543">
        <v>0</v>
      </c>
      <c r="I142" s="660"/>
      <c r="J142" s="595"/>
    </row>
    <row r="143" spans="1:10">
      <c r="A143" s="669">
        <v>1</v>
      </c>
      <c r="B143" s="86" t="s">
        <v>241</v>
      </c>
      <c r="C143" s="61"/>
      <c r="D143" s="64"/>
      <c r="E143" s="151">
        <v>5</v>
      </c>
      <c r="F143" s="140" t="s">
        <v>56</v>
      </c>
      <c r="G143" s="518">
        <v>1.1556041163411319E-2</v>
      </c>
      <c r="H143" s="536">
        <f t="shared" ref="H143:H148" si="25">I143/E143</f>
        <v>3001103.8901379192</v>
      </c>
      <c r="I143" s="662">
        <f t="shared" ref="I143:I148" si="26">$L$5*G143</f>
        <v>15005519.450689597</v>
      </c>
      <c r="J143" s="590"/>
    </row>
    <row r="144" spans="1:10">
      <c r="A144" s="669">
        <f t="shared" ref="A144:A148" si="27">A143+1</f>
        <v>2</v>
      </c>
      <c r="B144" s="86" t="s">
        <v>164</v>
      </c>
      <c r="C144" s="61"/>
      <c r="D144" s="64"/>
      <c r="E144" s="151">
        <v>6</v>
      </c>
      <c r="F144" s="140" t="s">
        <v>56</v>
      </c>
      <c r="G144" s="518">
        <v>1.8027424214921657E-2</v>
      </c>
      <c r="H144" s="536">
        <f t="shared" si="25"/>
        <v>3901435.057179295</v>
      </c>
      <c r="I144" s="662">
        <f t="shared" si="26"/>
        <v>23408610.343075771</v>
      </c>
      <c r="J144" s="590"/>
    </row>
    <row r="145" spans="1:10">
      <c r="A145" s="669">
        <v>4</v>
      </c>
      <c r="B145" s="86" t="s">
        <v>166</v>
      </c>
      <c r="C145" s="61"/>
      <c r="D145" s="64"/>
      <c r="E145" s="157">
        <v>1</v>
      </c>
      <c r="F145" s="158" t="s">
        <v>56</v>
      </c>
      <c r="G145" s="519">
        <v>1.0667114920071986E-2</v>
      </c>
      <c r="H145" s="536">
        <f t="shared" si="25"/>
        <v>13851248.723713474</v>
      </c>
      <c r="I145" s="662">
        <f t="shared" si="26"/>
        <v>13851248.723713474</v>
      </c>
      <c r="J145" s="590"/>
    </row>
    <row r="146" spans="1:10">
      <c r="A146" s="669">
        <f t="shared" si="27"/>
        <v>5</v>
      </c>
      <c r="B146" s="86" t="s">
        <v>175</v>
      </c>
      <c r="C146" s="61"/>
      <c r="D146" s="64"/>
      <c r="E146" s="157">
        <v>31</v>
      </c>
      <c r="F146" s="158" t="s">
        <v>56</v>
      </c>
      <c r="G146" s="519">
        <v>1.7195389251156042E-3</v>
      </c>
      <c r="H146" s="536">
        <f t="shared" si="25"/>
        <v>72026.493363310074</v>
      </c>
      <c r="I146" s="662">
        <f t="shared" si="26"/>
        <v>2232821.2942626122</v>
      </c>
      <c r="J146" s="590"/>
    </row>
    <row r="147" spans="1:10">
      <c r="A147" s="669">
        <f t="shared" si="27"/>
        <v>6</v>
      </c>
      <c r="B147" s="86" t="s">
        <v>176</v>
      </c>
      <c r="C147" s="61"/>
      <c r="D147" s="64"/>
      <c r="E147" s="157">
        <v>7</v>
      </c>
      <c r="F147" s="158" t="s">
        <v>56</v>
      </c>
      <c r="G147" s="519">
        <v>3.882829830906203E-4</v>
      </c>
      <c r="H147" s="536">
        <f t="shared" si="25"/>
        <v>72026.493363310074</v>
      </c>
      <c r="I147" s="662">
        <f t="shared" si="26"/>
        <v>504185.45354317047</v>
      </c>
      <c r="J147" s="590"/>
    </row>
    <row r="148" spans="1:10" ht="16" thickBot="1">
      <c r="A148" s="682">
        <f t="shared" si="27"/>
        <v>7</v>
      </c>
      <c r="B148" s="93" t="s">
        <v>177</v>
      </c>
      <c r="C148" s="208"/>
      <c r="D148" s="314"/>
      <c r="E148" s="157">
        <v>7</v>
      </c>
      <c r="F148" s="158" t="s">
        <v>56</v>
      </c>
      <c r="G148" s="519">
        <v>3.882829830906203E-4</v>
      </c>
      <c r="H148" s="536">
        <f t="shared" si="25"/>
        <v>72026.493363310074</v>
      </c>
      <c r="I148" s="664">
        <f t="shared" si="26"/>
        <v>504185.45354317047</v>
      </c>
      <c r="J148" s="590"/>
    </row>
    <row r="149" spans="1:10" ht="16.5" thickTop="1" thickBot="1">
      <c r="A149" s="686"/>
      <c r="B149" s="574"/>
      <c r="C149" s="330"/>
      <c r="D149" s="331"/>
      <c r="E149" s="575"/>
      <c r="F149" s="573"/>
      <c r="G149" s="576"/>
      <c r="H149" s="577"/>
      <c r="I149" s="687">
        <f>SUM(I143:I148)</f>
        <v>55506570.718827792</v>
      </c>
      <c r="J149" s="600"/>
    </row>
    <row r="150" spans="1:10" ht="19" thickTop="1" thickBot="1">
      <c r="A150" s="688"/>
      <c r="B150" s="583"/>
      <c r="C150" s="584"/>
      <c r="D150" s="585"/>
      <c r="E150" s="586"/>
      <c r="F150" s="587"/>
      <c r="G150" s="588"/>
      <c r="H150" s="694" t="s">
        <v>243</v>
      </c>
      <c r="I150" s="695">
        <f>I21+I62+I87+I95+I109+I116+I124+I135+I140+I149</f>
        <v>1298500000.0000005</v>
      </c>
      <c r="J150" s="601"/>
    </row>
    <row r="151" spans="1:10" ht="19" thickTop="1" thickBot="1">
      <c r="A151" s="688"/>
      <c r="B151" s="583"/>
      <c r="C151" s="584"/>
      <c r="D151" s="585"/>
      <c r="E151" s="586"/>
      <c r="F151" s="587"/>
      <c r="G151" s="588"/>
      <c r="H151" s="694" t="s">
        <v>257</v>
      </c>
      <c r="I151" s="695">
        <f>L2</f>
        <v>26500000</v>
      </c>
      <c r="J151" s="601"/>
    </row>
    <row r="152" spans="1:10" s="68" customFormat="1" ht="19" thickTop="1" thickBot="1">
      <c r="A152" s="689"/>
      <c r="B152" s="690"/>
      <c r="C152" s="690"/>
      <c r="D152" s="691"/>
      <c r="E152" s="692"/>
      <c r="F152" s="690"/>
      <c r="G152" s="693"/>
      <c r="H152" s="696" t="s">
        <v>255</v>
      </c>
      <c r="I152" s="697">
        <f>I150+I151</f>
        <v>1325000000.0000005</v>
      </c>
      <c r="J152" s="601"/>
    </row>
    <row r="153" spans="1:10" s="70" customFormat="1">
      <c r="A153" s="57"/>
      <c r="B153" s="57"/>
      <c r="C153" s="57"/>
      <c r="D153" s="65"/>
      <c r="E153" s="66"/>
      <c r="F153" s="57"/>
      <c r="G153" s="229"/>
      <c r="H153" s="67"/>
      <c r="I153" s="581"/>
      <c r="J153" s="581"/>
    </row>
    <row r="154" spans="1:10" s="71" customFormat="1">
      <c r="A154" s="57"/>
      <c r="B154" s="57"/>
      <c r="C154" s="57"/>
      <c r="D154" s="65"/>
      <c r="E154" s="66"/>
      <c r="F154" s="57"/>
      <c r="G154" s="229"/>
      <c r="H154" s="67"/>
      <c r="I154" s="578"/>
      <c r="J154" s="578"/>
    </row>
    <row r="156" spans="1:10">
      <c r="I156" s="582"/>
      <c r="J156" s="582"/>
    </row>
    <row r="157" spans="1:10" s="58" customFormat="1">
      <c r="A157" s="57"/>
      <c r="B157" s="57"/>
      <c r="C157" s="57"/>
      <c r="D157" s="65"/>
      <c r="E157" s="66"/>
      <c r="F157" s="57"/>
      <c r="G157" s="229"/>
      <c r="H157" s="67"/>
      <c r="I157" s="578"/>
      <c r="J157" s="578"/>
    </row>
    <row r="178" spans="1:10" s="67" customFormat="1">
      <c r="A178" s="57"/>
      <c r="B178" s="57"/>
      <c r="C178" s="57"/>
      <c r="D178" s="65"/>
      <c r="E178" s="66"/>
      <c r="F178" s="57"/>
      <c r="G178" s="229"/>
      <c r="I178" s="578"/>
      <c r="J178" s="578"/>
    </row>
    <row r="179" spans="1:10" s="67" customFormat="1">
      <c r="A179" s="57"/>
      <c r="B179" s="57"/>
      <c r="C179" s="57"/>
      <c r="D179" s="65"/>
      <c r="E179" s="66"/>
      <c r="F179" s="57"/>
      <c r="G179" s="229"/>
      <c r="I179" s="578"/>
      <c r="J179" s="578"/>
    </row>
    <row r="180" spans="1:10" s="70" customFormat="1" ht="25.5" customHeight="1">
      <c r="A180" s="57"/>
      <c r="B180" s="57"/>
      <c r="C180" s="57"/>
      <c r="D180" s="65"/>
      <c r="E180" s="66"/>
      <c r="F180" s="57"/>
      <c r="G180" s="229"/>
      <c r="H180" s="67"/>
      <c r="I180" s="578"/>
      <c r="J180" s="578"/>
    </row>
  </sheetData>
  <mergeCells count="4">
    <mergeCell ref="A8:A9"/>
    <mergeCell ref="B8:D9"/>
    <mergeCell ref="E8:F9"/>
    <mergeCell ref="E4:I4"/>
  </mergeCells>
  <printOptions horizontalCentered="1"/>
  <pageMargins left="0.59055118110236227" right="0.19685039370078741" top="0.31496062992125984" bottom="0.39370078740157483" header="0" footer="0"/>
  <pageSetup paperSize="8" fitToHeight="4" orientation="portrait" r:id="rId1"/>
  <headerFooter alignWithMargins="0">
    <oddFooter>Page &amp;P</oddFooter>
  </headerFooter>
  <rowBreaks count="1" manualBreakCount="1">
    <brk id="109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67D1-A2F2-45DA-A4DF-E892C6D25B96}">
  <sheetPr>
    <tabColor rgb="FF92D050"/>
    <pageSetUpPr fitToPage="1"/>
  </sheetPr>
  <dimension ref="A1:AX186"/>
  <sheetViews>
    <sheetView view="pageBreakPreview" zoomScale="40" zoomScaleNormal="25" zoomScaleSheetLayoutView="40" workbookViewId="0">
      <pane xSplit="19" ySplit="11" topLeftCell="T12" activePane="bottomRight" state="frozen"/>
      <selection activeCell="G9" sqref="G9"/>
      <selection pane="topRight" activeCell="G9" sqref="G9"/>
      <selection pane="bottomLeft" activeCell="G9" sqref="G9"/>
      <selection pane="bottomRight" sqref="A1:AV155"/>
    </sheetView>
  </sheetViews>
  <sheetFormatPr defaultRowHeight="15.5"/>
  <cols>
    <col min="1" max="1" width="6.08984375" style="57" customWidth="1"/>
    <col min="2" max="2" width="11.54296875" style="57" customWidth="1"/>
    <col min="3" max="3" width="2.08984375" style="57" customWidth="1"/>
    <col min="4" max="4" width="39.90625" style="65" customWidth="1"/>
    <col min="5" max="5" width="13.6328125" style="66" hidden="1" customWidth="1"/>
    <col min="6" max="6" width="6.81640625" style="57" hidden="1" customWidth="1"/>
    <col min="7" max="7" width="31.08984375" style="67" hidden="1" customWidth="1"/>
    <col min="8" max="8" width="28.36328125" style="67" hidden="1" customWidth="1"/>
    <col min="9" max="9" width="21.90625" style="67" hidden="1" customWidth="1"/>
    <col min="10" max="10" width="32.1796875" style="67" hidden="1" customWidth="1"/>
    <col min="11" max="11" width="27.90625" style="67" hidden="1" customWidth="1"/>
    <col min="12" max="12" width="33.08984375" style="67" hidden="1" customWidth="1"/>
    <col min="13" max="13" width="16.81640625" style="55" hidden="1" customWidth="1"/>
    <col min="14" max="14" width="12.1796875" style="55" hidden="1" customWidth="1"/>
    <col min="15" max="15" width="11.81640625" style="55" hidden="1" customWidth="1"/>
    <col min="16" max="16" width="14.1796875" style="55" hidden="1" customWidth="1"/>
    <col min="17" max="17" width="22.54296875" style="55" hidden="1" customWidth="1"/>
    <col min="18" max="18" width="27.54296875" style="55" hidden="1" customWidth="1"/>
    <col min="19" max="19" width="15.54296875" style="605" customWidth="1"/>
    <col min="20" max="20" width="18.6328125" style="57" bestFit="1" customWidth="1"/>
    <col min="21" max="23" width="18.54296875" style="57" bestFit="1" customWidth="1"/>
    <col min="24" max="24" width="18.6328125" style="57" bestFit="1" customWidth="1"/>
    <col min="25" max="25" width="18.54296875" style="57" bestFit="1" customWidth="1"/>
    <col min="26" max="26" width="19.81640625" style="57" bestFit="1" customWidth="1"/>
    <col min="27" max="27" width="18.54296875" style="57" bestFit="1" customWidth="1"/>
    <col min="28" max="28" width="18.6328125" style="57" bestFit="1" customWidth="1"/>
    <col min="29" max="31" width="18.54296875" style="57" bestFit="1" customWidth="1"/>
    <col min="32" max="32" width="18.6328125" style="57" bestFit="1" customWidth="1"/>
    <col min="33" max="35" width="18.54296875" style="57" bestFit="1" customWidth="1"/>
    <col min="36" max="36" width="18.6328125" style="57" bestFit="1" customWidth="1"/>
    <col min="37" max="39" width="18.54296875" style="57" bestFit="1" customWidth="1"/>
    <col min="40" max="40" width="18.6328125" style="57" bestFit="1" customWidth="1"/>
    <col min="41" max="43" width="18.54296875" style="57" bestFit="1" customWidth="1"/>
    <col min="44" max="44" width="18.6328125" style="57" bestFit="1" customWidth="1"/>
    <col min="45" max="46" width="18.54296875" style="57" bestFit="1" customWidth="1"/>
    <col min="47" max="47" width="17.453125" style="57" bestFit="1" customWidth="1"/>
    <col min="48" max="48" width="3.08984375" style="55" customWidth="1"/>
    <col min="49" max="49" width="30.1796875" style="55" bestFit="1" customWidth="1"/>
    <col min="50" max="50" width="11.1796875" style="55" bestFit="1" customWidth="1"/>
    <col min="51" max="178" width="8.90625" style="55"/>
    <col min="179" max="179" width="7.54296875" style="55" customWidth="1"/>
    <col min="180" max="180" width="59.54296875" style="55" customWidth="1"/>
    <col min="181" max="181" width="11.453125" style="55" customWidth="1"/>
    <col min="182" max="182" width="7.08984375" style="55" bestFit="1" customWidth="1"/>
    <col min="183" max="184" width="19.36328125" style="55" customWidth="1"/>
    <col min="185" max="185" width="17.36328125" style="55" customWidth="1"/>
    <col min="186" max="186" width="22.453125" style="55" bestFit="1" customWidth="1"/>
    <col min="187" max="187" width="20.36328125" style="55" customWidth="1"/>
    <col min="188" max="188" width="21" style="55" customWidth="1"/>
    <col min="189" max="434" width="8.90625" style="55"/>
    <col min="435" max="435" width="7.54296875" style="55" customWidth="1"/>
    <col min="436" max="436" width="59.54296875" style="55" customWidth="1"/>
    <col min="437" max="437" width="11.453125" style="55" customWidth="1"/>
    <col min="438" max="438" width="7.08984375" style="55" bestFit="1" customWidth="1"/>
    <col min="439" max="440" width="19.36328125" style="55" customWidth="1"/>
    <col min="441" max="441" width="17.36328125" style="55" customWidth="1"/>
    <col min="442" max="442" width="22.453125" style="55" bestFit="1" customWidth="1"/>
    <col min="443" max="443" width="20.36328125" style="55" customWidth="1"/>
    <col min="444" max="444" width="21" style="55" customWidth="1"/>
    <col min="445" max="690" width="8.90625" style="55"/>
    <col min="691" max="691" width="7.54296875" style="55" customWidth="1"/>
    <col min="692" max="692" width="59.54296875" style="55" customWidth="1"/>
    <col min="693" max="693" width="11.453125" style="55" customWidth="1"/>
    <col min="694" max="694" width="7.08984375" style="55" bestFit="1" customWidth="1"/>
    <col min="695" max="696" width="19.36328125" style="55" customWidth="1"/>
    <col min="697" max="697" width="17.36328125" style="55" customWidth="1"/>
    <col min="698" max="698" width="22.453125" style="55" bestFit="1" customWidth="1"/>
    <col min="699" max="699" width="20.36328125" style="55" customWidth="1"/>
    <col min="700" max="700" width="21" style="55" customWidth="1"/>
    <col min="701" max="946" width="8.90625" style="55"/>
    <col min="947" max="947" width="7.54296875" style="55" customWidth="1"/>
    <col min="948" max="948" width="59.54296875" style="55" customWidth="1"/>
    <col min="949" max="949" width="11.453125" style="55" customWidth="1"/>
    <col min="950" max="950" width="7.08984375" style="55" bestFit="1" customWidth="1"/>
    <col min="951" max="952" width="19.36328125" style="55" customWidth="1"/>
    <col min="953" max="953" width="17.36328125" style="55" customWidth="1"/>
    <col min="954" max="954" width="22.453125" style="55" bestFit="1" customWidth="1"/>
    <col min="955" max="955" width="20.36328125" style="55" customWidth="1"/>
    <col min="956" max="956" width="21" style="55" customWidth="1"/>
    <col min="957" max="1202" width="8.90625" style="55"/>
    <col min="1203" max="1203" width="7.54296875" style="55" customWidth="1"/>
    <col min="1204" max="1204" width="59.54296875" style="55" customWidth="1"/>
    <col min="1205" max="1205" width="11.453125" style="55" customWidth="1"/>
    <col min="1206" max="1206" width="7.08984375" style="55" bestFit="1" customWidth="1"/>
    <col min="1207" max="1208" width="19.36328125" style="55" customWidth="1"/>
    <col min="1209" max="1209" width="17.36328125" style="55" customWidth="1"/>
    <col min="1210" max="1210" width="22.453125" style="55" bestFit="1" customWidth="1"/>
    <col min="1211" max="1211" width="20.36328125" style="55" customWidth="1"/>
    <col min="1212" max="1212" width="21" style="55" customWidth="1"/>
    <col min="1213" max="1458" width="8.90625" style="55"/>
    <col min="1459" max="1459" width="7.54296875" style="55" customWidth="1"/>
    <col min="1460" max="1460" width="59.54296875" style="55" customWidth="1"/>
    <col min="1461" max="1461" width="11.453125" style="55" customWidth="1"/>
    <col min="1462" max="1462" width="7.08984375" style="55" bestFit="1" customWidth="1"/>
    <col min="1463" max="1464" width="19.36328125" style="55" customWidth="1"/>
    <col min="1465" max="1465" width="17.36328125" style="55" customWidth="1"/>
    <col min="1466" max="1466" width="22.453125" style="55" bestFit="1" customWidth="1"/>
    <col min="1467" max="1467" width="20.36328125" style="55" customWidth="1"/>
    <col min="1468" max="1468" width="21" style="55" customWidth="1"/>
    <col min="1469" max="1714" width="8.90625" style="55"/>
    <col min="1715" max="1715" width="7.54296875" style="55" customWidth="1"/>
    <col min="1716" max="1716" width="59.54296875" style="55" customWidth="1"/>
    <col min="1717" max="1717" width="11.453125" style="55" customWidth="1"/>
    <col min="1718" max="1718" width="7.08984375" style="55" bestFit="1" customWidth="1"/>
    <col min="1719" max="1720" width="19.36328125" style="55" customWidth="1"/>
    <col min="1721" max="1721" width="17.36328125" style="55" customWidth="1"/>
    <col min="1722" max="1722" width="22.453125" style="55" bestFit="1" customWidth="1"/>
    <col min="1723" max="1723" width="20.36328125" style="55" customWidth="1"/>
    <col min="1724" max="1724" width="21" style="55" customWidth="1"/>
    <col min="1725" max="1970" width="8.90625" style="55"/>
    <col min="1971" max="1971" width="7.54296875" style="55" customWidth="1"/>
    <col min="1972" max="1972" width="59.54296875" style="55" customWidth="1"/>
    <col min="1973" max="1973" width="11.453125" style="55" customWidth="1"/>
    <col min="1974" max="1974" width="7.08984375" style="55" bestFit="1" customWidth="1"/>
    <col min="1975" max="1976" width="19.36328125" style="55" customWidth="1"/>
    <col min="1977" max="1977" width="17.36328125" style="55" customWidth="1"/>
    <col min="1978" max="1978" width="22.453125" style="55" bestFit="1" customWidth="1"/>
    <col min="1979" max="1979" width="20.36328125" style="55" customWidth="1"/>
    <col min="1980" max="1980" width="21" style="55" customWidth="1"/>
    <col min="1981" max="2226" width="8.90625" style="55"/>
    <col min="2227" max="2227" width="7.54296875" style="55" customWidth="1"/>
    <col min="2228" max="2228" width="59.54296875" style="55" customWidth="1"/>
    <col min="2229" max="2229" width="11.453125" style="55" customWidth="1"/>
    <col min="2230" max="2230" width="7.08984375" style="55" bestFit="1" customWidth="1"/>
    <col min="2231" max="2232" width="19.36328125" style="55" customWidth="1"/>
    <col min="2233" max="2233" width="17.36328125" style="55" customWidth="1"/>
    <col min="2234" max="2234" width="22.453125" style="55" bestFit="1" customWidth="1"/>
    <col min="2235" max="2235" width="20.36328125" style="55" customWidth="1"/>
    <col min="2236" max="2236" width="21" style="55" customWidth="1"/>
    <col min="2237" max="2482" width="8.90625" style="55"/>
    <col min="2483" max="2483" width="7.54296875" style="55" customWidth="1"/>
    <col min="2484" max="2484" width="59.54296875" style="55" customWidth="1"/>
    <col min="2485" max="2485" width="11.453125" style="55" customWidth="1"/>
    <col min="2486" max="2486" width="7.08984375" style="55" bestFit="1" customWidth="1"/>
    <col min="2487" max="2488" width="19.36328125" style="55" customWidth="1"/>
    <col min="2489" max="2489" width="17.36328125" style="55" customWidth="1"/>
    <col min="2490" max="2490" width="22.453125" style="55" bestFit="1" customWidth="1"/>
    <col min="2491" max="2491" width="20.36328125" style="55" customWidth="1"/>
    <col min="2492" max="2492" width="21" style="55" customWidth="1"/>
    <col min="2493" max="2738" width="8.90625" style="55"/>
    <col min="2739" max="2739" width="7.54296875" style="55" customWidth="1"/>
    <col min="2740" max="2740" width="59.54296875" style="55" customWidth="1"/>
    <col min="2741" max="2741" width="11.453125" style="55" customWidth="1"/>
    <col min="2742" max="2742" width="7.08984375" style="55" bestFit="1" customWidth="1"/>
    <col min="2743" max="2744" width="19.36328125" style="55" customWidth="1"/>
    <col min="2745" max="2745" width="17.36328125" style="55" customWidth="1"/>
    <col min="2746" max="2746" width="22.453125" style="55" bestFit="1" customWidth="1"/>
    <col min="2747" max="2747" width="20.36328125" style="55" customWidth="1"/>
    <col min="2748" max="2748" width="21" style="55" customWidth="1"/>
    <col min="2749" max="2994" width="8.90625" style="55"/>
    <col min="2995" max="2995" width="7.54296875" style="55" customWidth="1"/>
    <col min="2996" max="2996" width="59.54296875" style="55" customWidth="1"/>
    <col min="2997" max="2997" width="11.453125" style="55" customWidth="1"/>
    <col min="2998" max="2998" width="7.08984375" style="55" bestFit="1" customWidth="1"/>
    <col min="2999" max="3000" width="19.36328125" style="55" customWidth="1"/>
    <col min="3001" max="3001" width="17.36328125" style="55" customWidth="1"/>
    <col min="3002" max="3002" width="22.453125" style="55" bestFit="1" customWidth="1"/>
    <col min="3003" max="3003" width="20.36328125" style="55" customWidth="1"/>
    <col min="3004" max="3004" width="21" style="55" customWidth="1"/>
    <col min="3005" max="3250" width="8.90625" style="55"/>
    <col min="3251" max="3251" width="7.54296875" style="55" customWidth="1"/>
    <col min="3252" max="3252" width="59.54296875" style="55" customWidth="1"/>
    <col min="3253" max="3253" width="11.453125" style="55" customWidth="1"/>
    <col min="3254" max="3254" width="7.08984375" style="55" bestFit="1" customWidth="1"/>
    <col min="3255" max="3256" width="19.36328125" style="55" customWidth="1"/>
    <col min="3257" max="3257" width="17.36328125" style="55" customWidth="1"/>
    <col min="3258" max="3258" width="22.453125" style="55" bestFit="1" customWidth="1"/>
    <col min="3259" max="3259" width="20.36328125" style="55" customWidth="1"/>
    <col min="3260" max="3260" width="21" style="55" customWidth="1"/>
    <col min="3261" max="3506" width="8.90625" style="55"/>
    <col min="3507" max="3507" width="7.54296875" style="55" customWidth="1"/>
    <col min="3508" max="3508" width="59.54296875" style="55" customWidth="1"/>
    <col min="3509" max="3509" width="11.453125" style="55" customWidth="1"/>
    <col min="3510" max="3510" width="7.08984375" style="55" bestFit="1" customWidth="1"/>
    <col min="3511" max="3512" width="19.36328125" style="55" customWidth="1"/>
    <col min="3513" max="3513" width="17.36328125" style="55" customWidth="1"/>
    <col min="3514" max="3514" width="22.453125" style="55" bestFit="1" customWidth="1"/>
    <col min="3515" max="3515" width="20.36328125" style="55" customWidth="1"/>
    <col min="3516" max="3516" width="21" style="55" customWidth="1"/>
    <col min="3517" max="3762" width="8.90625" style="55"/>
    <col min="3763" max="3763" width="7.54296875" style="55" customWidth="1"/>
    <col min="3764" max="3764" width="59.54296875" style="55" customWidth="1"/>
    <col min="3765" max="3765" width="11.453125" style="55" customWidth="1"/>
    <col min="3766" max="3766" width="7.08984375" style="55" bestFit="1" customWidth="1"/>
    <col min="3767" max="3768" width="19.36328125" style="55" customWidth="1"/>
    <col min="3769" max="3769" width="17.36328125" style="55" customWidth="1"/>
    <col min="3770" max="3770" width="22.453125" style="55" bestFit="1" customWidth="1"/>
    <col min="3771" max="3771" width="20.36328125" style="55" customWidth="1"/>
    <col min="3772" max="3772" width="21" style="55" customWidth="1"/>
    <col min="3773" max="4018" width="8.90625" style="55"/>
    <col min="4019" max="4019" width="7.54296875" style="55" customWidth="1"/>
    <col min="4020" max="4020" width="59.54296875" style="55" customWidth="1"/>
    <col min="4021" max="4021" width="11.453125" style="55" customWidth="1"/>
    <col min="4022" max="4022" width="7.08984375" style="55" bestFit="1" customWidth="1"/>
    <col min="4023" max="4024" width="19.36328125" style="55" customWidth="1"/>
    <col min="4025" max="4025" width="17.36328125" style="55" customWidth="1"/>
    <col min="4026" max="4026" width="22.453125" style="55" bestFit="1" customWidth="1"/>
    <col min="4027" max="4027" width="20.36328125" style="55" customWidth="1"/>
    <col min="4028" max="4028" width="21" style="55" customWidth="1"/>
    <col min="4029" max="4274" width="8.90625" style="55"/>
    <col min="4275" max="4275" width="7.54296875" style="55" customWidth="1"/>
    <col min="4276" max="4276" width="59.54296875" style="55" customWidth="1"/>
    <col min="4277" max="4277" width="11.453125" style="55" customWidth="1"/>
    <col min="4278" max="4278" width="7.08984375" style="55" bestFit="1" customWidth="1"/>
    <col min="4279" max="4280" width="19.36328125" style="55" customWidth="1"/>
    <col min="4281" max="4281" width="17.36328125" style="55" customWidth="1"/>
    <col min="4282" max="4282" width="22.453125" style="55" bestFit="1" customWidth="1"/>
    <col min="4283" max="4283" width="20.36328125" style="55" customWidth="1"/>
    <col min="4284" max="4284" width="21" style="55" customWidth="1"/>
    <col min="4285" max="4530" width="8.90625" style="55"/>
    <col min="4531" max="4531" width="7.54296875" style="55" customWidth="1"/>
    <col min="4532" max="4532" width="59.54296875" style="55" customWidth="1"/>
    <col min="4533" max="4533" width="11.453125" style="55" customWidth="1"/>
    <col min="4534" max="4534" width="7.08984375" style="55" bestFit="1" customWidth="1"/>
    <col min="4535" max="4536" width="19.36328125" style="55" customWidth="1"/>
    <col min="4537" max="4537" width="17.36328125" style="55" customWidth="1"/>
    <col min="4538" max="4538" width="22.453125" style="55" bestFit="1" customWidth="1"/>
    <col min="4539" max="4539" width="20.36328125" style="55" customWidth="1"/>
    <col min="4540" max="4540" width="21" style="55" customWidth="1"/>
    <col min="4541" max="4786" width="8.90625" style="55"/>
    <col min="4787" max="4787" width="7.54296875" style="55" customWidth="1"/>
    <col min="4788" max="4788" width="59.54296875" style="55" customWidth="1"/>
    <col min="4789" max="4789" width="11.453125" style="55" customWidth="1"/>
    <col min="4790" max="4790" width="7.08984375" style="55" bestFit="1" customWidth="1"/>
    <col min="4791" max="4792" width="19.36328125" style="55" customWidth="1"/>
    <col min="4793" max="4793" width="17.36328125" style="55" customWidth="1"/>
    <col min="4794" max="4794" width="22.453125" style="55" bestFit="1" customWidth="1"/>
    <col min="4795" max="4795" width="20.36328125" style="55" customWidth="1"/>
    <col min="4796" max="4796" width="21" style="55" customWidth="1"/>
    <col min="4797" max="5042" width="8.90625" style="55"/>
    <col min="5043" max="5043" width="7.54296875" style="55" customWidth="1"/>
    <col min="5044" max="5044" width="59.54296875" style="55" customWidth="1"/>
    <col min="5045" max="5045" width="11.453125" style="55" customWidth="1"/>
    <col min="5046" max="5046" width="7.08984375" style="55" bestFit="1" customWidth="1"/>
    <col min="5047" max="5048" width="19.36328125" style="55" customWidth="1"/>
    <col min="5049" max="5049" width="17.36328125" style="55" customWidth="1"/>
    <col min="5050" max="5050" width="22.453125" style="55" bestFit="1" customWidth="1"/>
    <col min="5051" max="5051" width="20.36328125" style="55" customWidth="1"/>
    <col min="5052" max="5052" width="21" style="55" customWidth="1"/>
    <col min="5053" max="5298" width="8.90625" style="55"/>
    <col min="5299" max="5299" width="7.54296875" style="55" customWidth="1"/>
    <col min="5300" max="5300" width="59.54296875" style="55" customWidth="1"/>
    <col min="5301" max="5301" width="11.453125" style="55" customWidth="1"/>
    <col min="5302" max="5302" width="7.08984375" style="55" bestFit="1" customWidth="1"/>
    <col min="5303" max="5304" width="19.36328125" style="55" customWidth="1"/>
    <col min="5305" max="5305" width="17.36328125" style="55" customWidth="1"/>
    <col min="5306" max="5306" width="22.453125" style="55" bestFit="1" customWidth="1"/>
    <col min="5307" max="5307" width="20.36328125" style="55" customWidth="1"/>
    <col min="5308" max="5308" width="21" style="55" customWidth="1"/>
    <col min="5309" max="5554" width="8.90625" style="55"/>
    <col min="5555" max="5555" width="7.54296875" style="55" customWidth="1"/>
    <col min="5556" max="5556" width="59.54296875" style="55" customWidth="1"/>
    <col min="5557" max="5557" width="11.453125" style="55" customWidth="1"/>
    <col min="5558" max="5558" width="7.08984375" style="55" bestFit="1" customWidth="1"/>
    <col min="5559" max="5560" width="19.36328125" style="55" customWidth="1"/>
    <col min="5561" max="5561" width="17.36328125" style="55" customWidth="1"/>
    <col min="5562" max="5562" width="22.453125" style="55" bestFit="1" customWidth="1"/>
    <col min="5563" max="5563" width="20.36328125" style="55" customWidth="1"/>
    <col min="5564" max="5564" width="21" style="55" customWidth="1"/>
    <col min="5565" max="5810" width="8.90625" style="55"/>
    <col min="5811" max="5811" width="7.54296875" style="55" customWidth="1"/>
    <col min="5812" max="5812" width="59.54296875" style="55" customWidth="1"/>
    <col min="5813" max="5813" width="11.453125" style="55" customWidth="1"/>
    <col min="5814" max="5814" width="7.08984375" style="55" bestFit="1" customWidth="1"/>
    <col min="5815" max="5816" width="19.36328125" style="55" customWidth="1"/>
    <col min="5817" max="5817" width="17.36328125" style="55" customWidth="1"/>
    <col min="5818" max="5818" width="22.453125" style="55" bestFit="1" customWidth="1"/>
    <col min="5819" max="5819" width="20.36328125" style="55" customWidth="1"/>
    <col min="5820" max="5820" width="21" style="55" customWidth="1"/>
    <col min="5821" max="6066" width="8.90625" style="55"/>
    <col min="6067" max="6067" width="7.54296875" style="55" customWidth="1"/>
    <col min="6068" max="6068" width="59.54296875" style="55" customWidth="1"/>
    <col min="6069" max="6069" width="11.453125" style="55" customWidth="1"/>
    <col min="6070" max="6070" width="7.08984375" style="55" bestFit="1" customWidth="1"/>
    <col min="6071" max="6072" width="19.36328125" style="55" customWidth="1"/>
    <col min="6073" max="6073" width="17.36328125" style="55" customWidth="1"/>
    <col min="6074" max="6074" width="22.453125" style="55" bestFit="1" customWidth="1"/>
    <col min="6075" max="6075" width="20.36328125" style="55" customWidth="1"/>
    <col min="6076" max="6076" width="21" style="55" customWidth="1"/>
    <col min="6077" max="6322" width="8.90625" style="55"/>
    <col min="6323" max="6323" width="7.54296875" style="55" customWidth="1"/>
    <col min="6324" max="6324" width="59.54296875" style="55" customWidth="1"/>
    <col min="6325" max="6325" width="11.453125" style="55" customWidth="1"/>
    <col min="6326" max="6326" width="7.08984375" style="55" bestFit="1" customWidth="1"/>
    <col min="6327" max="6328" width="19.36328125" style="55" customWidth="1"/>
    <col min="6329" max="6329" width="17.36328125" style="55" customWidth="1"/>
    <col min="6330" max="6330" width="22.453125" style="55" bestFit="1" customWidth="1"/>
    <col min="6331" max="6331" width="20.36328125" style="55" customWidth="1"/>
    <col min="6332" max="6332" width="21" style="55" customWidth="1"/>
    <col min="6333" max="6578" width="8.90625" style="55"/>
    <col min="6579" max="6579" width="7.54296875" style="55" customWidth="1"/>
    <col min="6580" max="6580" width="59.54296875" style="55" customWidth="1"/>
    <col min="6581" max="6581" width="11.453125" style="55" customWidth="1"/>
    <col min="6582" max="6582" width="7.08984375" style="55" bestFit="1" customWidth="1"/>
    <col min="6583" max="6584" width="19.36328125" style="55" customWidth="1"/>
    <col min="6585" max="6585" width="17.36328125" style="55" customWidth="1"/>
    <col min="6586" max="6586" width="22.453125" style="55" bestFit="1" customWidth="1"/>
    <col min="6587" max="6587" width="20.36328125" style="55" customWidth="1"/>
    <col min="6588" max="6588" width="21" style="55" customWidth="1"/>
    <col min="6589" max="6834" width="8.90625" style="55"/>
    <col min="6835" max="6835" width="7.54296875" style="55" customWidth="1"/>
    <col min="6836" max="6836" width="59.54296875" style="55" customWidth="1"/>
    <col min="6837" max="6837" width="11.453125" style="55" customWidth="1"/>
    <col min="6838" max="6838" width="7.08984375" style="55" bestFit="1" customWidth="1"/>
    <col min="6839" max="6840" width="19.36328125" style="55" customWidth="1"/>
    <col min="6841" max="6841" width="17.36328125" style="55" customWidth="1"/>
    <col min="6842" max="6842" width="22.453125" style="55" bestFit="1" customWidth="1"/>
    <col min="6843" max="6843" width="20.36328125" style="55" customWidth="1"/>
    <col min="6844" max="6844" width="21" style="55" customWidth="1"/>
    <col min="6845" max="7090" width="8.90625" style="55"/>
    <col min="7091" max="7091" width="7.54296875" style="55" customWidth="1"/>
    <col min="7092" max="7092" width="59.54296875" style="55" customWidth="1"/>
    <col min="7093" max="7093" width="11.453125" style="55" customWidth="1"/>
    <col min="7094" max="7094" width="7.08984375" style="55" bestFit="1" customWidth="1"/>
    <col min="7095" max="7096" width="19.36328125" style="55" customWidth="1"/>
    <col min="7097" max="7097" width="17.36328125" style="55" customWidth="1"/>
    <col min="7098" max="7098" width="22.453125" style="55" bestFit="1" customWidth="1"/>
    <col min="7099" max="7099" width="20.36328125" style="55" customWidth="1"/>
    <col min="7100" max="7100" width="21" style="55" customWidth="1"/>
    <col min="7101" max="7346" width="8.90625" style="55"/>
    <col min="7347" max="7347" width="7.54296875" style="55" customWidth="1"/>
    <col min="7348" max="7348" width="59.54296875" style="55" customWidth="1"/>
    <col min="7349" max="7349" width="11.453125" style="55" customWidth="1"/>
    <col min="7350" max="7350" width="7.08984375" style="55" bestFit="1" customWidth="1"/>
    <col min="7351" max="7352" width="19.36328125" style="55" customWidth="1"/>
    <col min="7353" max="7353" width="17.36328125" style="55" customWidth="1"/>
    <col min="7354" max="7354" width="22.453125" style="55" bestFit="1" customWidth="1"/>
    <col min="7355" max="7355" width="20.36328125" style="55" customWidth="1"/>
    <col min="7356" max="7356" width="21" style="55" customWidth="1"/>
    <col min="7357" max="7602" width="8.90625" style="55"/>
    <col min="7603" max="7603" width="7.54296875" style="55" customWidth="1"/>
    <col min="7604" max="7604" width="59.54296875" style="55" customWidth="1"/>
    <col min="7605" max="7605" width="11.453125" style="55" customWidth="1"/>
    <col min="7606" max="7606" width="7.08984375" style="55" bestFit="1" customWidth="1"/>
    <col min="7607" max="7608" width="19.36328125" style="55" customWidth="1"/>
    <col min="7609" max="7609" width="17.36328125" style="55" customWidth="1"/>
    <col min="7610" max="7610" width="22.453125" style="55" bestFit="1" customWidth="1"/>
    <col min="7611" max="7611" width="20.36328125" style="55" customWidth="1"/>
    <col min="7612" max="7612" width="21" style="55" customWidth="1"/>
    <col min="7613" max="7858" width="8.90625" style="55"/>
    <col min="7859" max="7859" width="7.54296875" style="55" customWidth="1"/>
    <col min="7860" max="7860" width="59.54296875" style="55" customWidth="1"/>
    <col min="7861" max="7861" width="11.453125" style="55" customWidth="1"/>
    <col min="7862" max="7862" width="7.08984375" style="55" bestFit="1" customWidth="1"/>
    <col min="7863" max="7864" width="19.36328125" style="55" customWidth="1"/>
    <col min="7865" max="7865" width="17.36328125" style="55" customWidth="1"/>
    <col min="7866" max="7866" width="22.453125" style="55" bestFit="1" customWidth="1"/>
    <col min="7867" max="7867" width="20.36328125" style="55" customWidth="1"/>
    <col min="7868" max="7868" width="21" style="55" customWidth="1"/>
    <col min="7869" max="8114" width="8.90625" style="55"/>
    <col min="8115" max="8115" width="7.54296875" style="55" customWidth="1"/>
    <col min="8116" max="8116" width="59.54296875" style="55" customWidth="1"/>
    <col min="8117" max="8117" width="11.453125" style="55" customWidth="1"/>
    <col min="8118" max="8118" width="7.08984375" style="55" bestFit="1" customWidth="1"/>
    <col min="8119" max="8120" width="19.36328125" style="55" customWidth="1"/>
    <col min="8121" max="8121" width="17.36328125" style="55" customWidth="1"/>
    <col min="8122" max="8122" width="22.453125" style="55" bestFit="1" customWidth="1"/>
    <col min="8123" max="8123" width="20.36328125" style="55" customWidth="1"/>
    <col min="8124" max="8124" width="21" style="55" customWidth="1"/>
    <col min="8125" max="8370" width="8.90625" style="55"/>
    <col min="8371" max="8371" width="7.54296875" style="55" customWidth="1"/>
    <col min="8372" max="8372" width="59.54296875" style="55" customWidth="1"/>
    <col min="8373" max="8373" width="11.453125" style="55" customWidth="1"/>
    <col min="8374" max="8374" width="7.08984375" style="55" bestFit="1" customWidth="1"/>
    <col min="8375" max="8376" width="19.36328125" style="55" customWidth="1"/>
    <col min="8377" max="8377" width="17.36328125" style="55" customWidth="1"/>
    <col min="8378" max="8378" width="22.453125" style="55" bestFit="1" customWidth="1"/>
    <col min="8379" max="8379" width="20.36328125" style="55" customWidth="1"/>
    <col min="8380" max="8380" width="21" style="55" customWidth="1"/>
    <col min="8381" max="8626" width="8.90625" style="55"/>
    <col min="8627" max="8627" width="7.54296875" style="55" customWidth="1"/>
    <col min="8628" max="8628" width="59.54296875" style="55" customWidth="1"/>
    <col min="8629" max="8629" width="11.453125" style="55" customWidth="1"/>
    <col min="8630" max="8630" width="7.08984375" style="55" bestFit="1" customWidth="1"/>
    <col min="8631" max="8632" width="19.36328125" style="55" customWidth="1"/>
    <col min="8633" max="8633" width="17.36328125" style="55" customWidth="1"/>
    <col min="8634" max="8634" width="22.453125" style="55" bestFit="1" customWidth="1"/>
    <col min="8635" max="8635" width="20.36328125" style="55" customWidth="1"/>
    <col min="8636" max="8636" width="21" style="55" customWidth="1"/>
    <col min="8637" max="8882" width="8.90625" style="55"/>
    <col min="8883" max="8883" width="7.54296875" style="55" customWidth="1"/>
    <col min="8884" max="8884" width="59.54296875" style="55" customWidth="1"/>
    <col min="8885" max="8885" width="11.453125" style="55" customWidth="1"/>
    <col min="8886" max="8886" width="7.08984375" style="55" bestFit="1" customWidth="1"/>
    <col min="8887" max="8888" width="19.36328125" style="55" customWidth="1"/>
    <col min="8889" max="8889" width="17.36328125" style="55" customWidth="1"/>
    <col min="8890" max="8890" width="22.453125" style="55" bestFit="1" customWidth="1"/>
    <col min="8891" max="8891" width="20.36328125" style="55" customWidth="1"/>
    <col min="8892" max="8892" width="21" style="55" customWidth="1"/>
    <col min="8893" max="9138" width="8.90625" style="55"/>
    <col min="9139" max="9139" width="7.54296875" style="55" customWidth="1"/>
    <col min="9140" max="9140" width="59.54296875" style="55" customWidth="1"/>
    <col min="9141" max="9141" width="11.453125" style="55" customWidth="1"/>
    <col min="9142" max="9142" width="7.08984375" style="55" bestFit="1" customWidth="1"/>
    <col min="9143" max="9144" width="19.36328125" style="55" customWidth="1"/>
    <col min="9145" max="9145" width="17.36328125" style="55" customWidth="1"/>
    <col min="9146" max="9146" width="22.453125" style="55" bestFit="1" customWidth="1"/>
    <col min="9147" max="9147" width="20.36328125" style="55" customWidth="1"/>
    <col min="9148" max="9148" width="21" style="55" customWidth="1"/>
    <col min="9149" max="9394" width="8.90625" style="55"/>
    <col min="9395" max="9395" width="7.54296875" style="55" customWidth="1"/>
    <col min="9396" max="9396" width="59.54296875" style="55" customWidth="1"/>
    <col min="9397" max="9397" width="11.453125" style="55" customWidth="1"/>
    <col min="9398" max="9398" width="7.08984375" style="55" bestFit="1" customWidth="1"/>
    <col min="9399" max="9400" width="19.36328125" style="55" customWidth="1"/>
    <col min="9401" max="9401" width="17.36328125" style="55" customWidth="1"/>
    <col min="9402" max="9402" width="22.453125" style="55" bestFit="1" customWidth="1"/>
    <col min="9403" max="9403" width="20.36328125" style="55" customWidth="1"/>
    <col min="9404" max="9404" width="21" style="55" customWidth="1"/>
    <col min="9405" max="9650" width="8.90625" style="55"/>
    <col min="9651" max="9651" width="7.54296875" style="55" customWidth="1"/>
    <col min="9652" max="9652" width="59.54296875" style="55" customWidth="1"/>
    <col min="9653" max="9653" width="11.453125" style="55" customWidth="1"/>
    <col min="9654" max="9654" width="7.08984375" style="55" bestFit="1" customWidth="1"/>
    <col min="9655" max="9656" width="19.36328125" style="55" customWidth="1"/>
    <col min="9657" max="9657" width="17.36328125" style="55" customWidth="1"/>
    <col min="9658" max="9658" width="22.453125" style="55" bestFit="1" customWidth="1"/>
    <col min="9659" max="9659" width="20.36328125" style="55" customWidth="1"/>
    <col min="9660" max="9660" width="21" style="55" customWidth="1"/>
    <col min="9661" max="9906" width="8.90625" style="55"/>
    <col min="9907" max="9907" width="7.54296875" style="55" customWidth="1"/>
    <col min="9908" max="9908" width="59.54296875" style="55" customWidth="1"/>
    <col min="9909" max="9909" width="11.453125" style="55" customWidth="1"/>
    <col min="9910" max="9910" width="7.08984375" style="55" bestFit="1" customWidth="1"/>
    <col min="9911" max="9912" width="19.36328125" style="55" customWidth="1"/>
    <col min="9913" max="9913" width="17.36328125" style="55" customWidth="1"/>
    <col min="9914" max="9914" width="22.453125" style="55" bestFit="1" customWidth="1"/>
    <col min="9915" max="9915" width="20.36328125" style="55" customWidth="1"/>
    <col min="9916" max="9916" width="21" style="55" customWidth="1"/>
    <col min="9917" max="10162" width="8.90625" style="55"/>
    <col min="10163" max="10163" width="7.54296875" style="55" customWidth="1"/>
    <col min="10164" max="10164" width="59.54296875" style="55" customWidth="1"/>
    <col min="10165" max="10165" width="11.453125" style="55" customWidth="1"/>
    <col min="10166" max="10166" width="7.08984375" style="55" bestFit="1" customWidth="1"/>
    <col min="10167" max="10168" width="19.36328125" style="55" customWidth="1"/>
    <col min="10169" max="10169" width="17.36328125" style="55" customWidth="1"/>
    <col min="10170" max="10170" width="22.453125" style="55" bestFit="1" customWidth="1"/>
    <col min="10171" max="10171" width="20.36328125" style="55" customWidth="1"/>
    <col min="10172" max="10172" width="21" style="55" customWidth="1"/>
    <col min="10173" max="10418" width="8.90625" style="55"/>
    <col min="10419" max="10419" width="7.54296875" style="55" customWidth="1"/>
    <col min="10420" max="10420" width="59.54296875" style="55" customWidth="1"/>
    <col min="10421" max="10421" width="11.453125" style="55" customWidth="1"/>
    <col min="10422" max="10422" width="7.08984375" style="55" bestFit="1" customWidth="1"/>
    <col min="10423" max="10424" width="19.36328125" style="55" customWidth="1"/>
    <col min="10425" max="10425" width="17.36328125" style="55" customWidth="1"/>
    <col min="10426" max="10426" width="22.453125" style="55" bestFit="1" customWidth="1"/>
    <col min="10427" max="10427" width="20.36328125" style="55" customWidth="1"/>
    <col min="10428" max="10428" width="21" style="55" customWidth="1"/>
    <col min="10429" max="10674" width="8.90625" style="55"/>
    <col min="10675" max="10675" width="7.54296875" style="55" customWidth="1"/>
    <col min="10676" max="10676" width="59.54296875" style="55" customWidth="1"/>
    <col min="10677" max="10677" width="11.453125" style="55" customWidth="1"/>
    <col min="10678" max="10678" width="7.08984375" style="55" bestFit="1" customWidth="1"/>
    <col min="10679" max="10680" width="19.36328125" style="55" customWidth="1"/>
    <col min="10681" max="10681" width="17.36328125" style="55" customWidth="1"/>
    <col min="10682" max="10682" width="22.453125" style="55" bestFit="1" customWidth="1"/>
    <col min="10683" max="10683" width="20.36328125" style="55" customWidth="1"/>
    <col min="10684" max="10684" width="21" style="55" customWidth="1"/>
    <col min="10685" max="10930" width="8.90625" style="55"/>
    <col min="10931" max="10931" width="7.54296875" style="55" customWidth="1"/>
    <col min="10932" max="10932" width="59.54296875" style="55" customWidth="1"/>
    <col min="10933" max="10933" width="11.453125" style="55" customWidth="1"/>
    <col min="10934" max="10934" width="7.08984375" style="55" bestFit="1" customWidth="1"/>
    <col min="10935" max="10936" width="19.36328125" style="55" customWidth="1"/>
    <col min="10937" max="10937" width="17.36328125" style="55" customWidth="1"/>
    <col min="10938" max="10938" width="22.453125" style="55" bestFit="1" customWidth="1"/>
    <col min="10939" max="10939" width="20.36328125" style="55" customWidth="1"/>
    <col min="10940" max="10940" width="21" style="55" customWidth="1"/>
    <col min="10941" max="11186" width="8.90625" style="55"/>
    <col min="11187" max="11187" width="7.54296875" style="55" customWidth="1"/>
    <col min="11188" max="11188" width="59.54296875" style="55" customWidth="1"/>
    <col min="11189" max="11189" width="11.453125" style="55" customWidth="1"/>
    <col min="11190" max="11190" width="7.08984375" style="55" bestFit="1" customWidth="1"/>
    <col min="11191" max="11192" width="19.36328125" style="55" customWidth="1"/>
    <col min="11193" max="11193" width="17.36328125" style="55" customWidth="1"/>
    <col min="11194" max="11194" width="22.453125" style="55" bestFit="1" customWidth="1"/>
    <col min="11195" max="11195" width="20.36328125" style="55" customWidth="1"/>
    <col min="11196" max="11196" width="21" style="55" customWidth="1"/>
    <col min="11197" max="11442" width="8.90625" style="55"/>
    <col min="11443" max="11443" width="7.54296875" style="55" customWidth="1"/>
    <col min="11444" max="11444" width="59.54296875" style="55" customWidth="1"/>
    <col min="11445" max="11445" width="11.453125" style="55" customWidth="1"/>
    <col min="11446" max="11446" width="7.08984375" style="55" bestFit="1" customWidth="1"/>
    <col min="11447" max="11448" width="19.36328125" style="55" customWidth="1"/>
    <col min="11449" max="11449" width="17.36328125" style="55" customWidth="1"/>
    <col min="11450" max="11450" width="22.453125" style="55" bestFit="1" customWidth="1"/>
    <col min="11451" max="11451" width="20.36328125" style="55" customWidth="1"/>
    <col min="11452" max="11452" width="21" style="55" customWidth="1"/>
    <col min="11453" max="11698" width="8.90625" style="55"/>
    <col min="11699" max="11699" width="7.54296875" style="55" customWidth="1"/>
    <col min="11700" max="11700" width="59.54296875" style="55" customWidth="1"/>
    <col min="11701" max="11701" width="11.453125" style="55" customWidth="1"/>
    <col min="11702" max="11702" width="7.08984375" style="55" bestFit="1" customWidth="1"/>
    <col min="11703" max="11704" width="19.36328125" style="55" customWidth="1"/>
    <col min="11705" max="11705" width="17.36328125" style="55" customWidth="1"/>
    <col min="11706" max="11706" width="22.453125" style="55" bestFit="1" customWidth="1"/>
    <col min="11707" max="11707" width="20.36328125" style="55" customWidth="1"/>
    <col min="11708" max="11708" width="21" style="55" customWidth="1"/>
    <col min="11709" max="11954" width="8.90625" style="55"/>
    <col min="11955" max="11955" width="7.54296875" style="55" customWidth="1"/>
    <col min="11956" max="11956" width="59.54296875" style="55" customWidth="1"/>
    <col min="11957" max="11957" width="11.453125" style="55" customWidth="1"/>
    <col min="11958" max="11958" width="7.08984375" style="55" bestFit="1" customWidth="1"/>
    <col min="11959" max="11960" width="19.36328125" style="55" customWidth="1"/>
    <col min="11961" max="11961" width="17.36328125" style="55" customWidth="1"/>
    <col min="11962" max="11962" width="22.453125" style="55" bestFit="1" customWidth="1"/>
    <col min="11963" max="11963" width="20.36328125" style="55" customWidth="1"/>
    <col min="11964" max="11964" width="21" style="55" customWidth="1"/>
    <col min="11965" max="12210" width="8.90625" style="55"/>
    <col min="12211" max="12211" width="7.54296875" style="55" customWidth="1"/>
    <col min="12212" max="12212" width="59.54296875" style="55" customWidth="1"/>
    <col min="12213" max="12213" width="11.453125" style="55" customWidth="1"/>
    <col min="12214" max="12214" width="7.08984375" style="55" bestFit="1" customWidth="1"/>
    <col min="12215" max="12216" width="19.36328125" style="55" customWidth="1"/>
    <col min="12217" max="12217" width="17.36328125" style="55" customWidth="1"/>
    <col min="12218" max="12218" width="22.453125" style="55" bestFit="1" customWidth="1"/>
    <col min="12219" max="12219" width="20.36328125" style="55" customWidth="1"/>
    <col min="12220" max="12220" width="21" style="55" customWidth="1"/>
    <col min="12221" max="12466" width="8.90625" style="55"/>
    <col min="12467" max="12467" width="7.54296875" style="55" customWidth="1"/>
    <col min="12468" max="12468" width="59.54296875" style="55" customWidth="1"/>
    <col min="12469" max="12469" width="11.453125" style="55" customWidth="1"/>
    <col min="12470" max="12470" width="7.08984375" style="55" bestFit="1" customWidth="1"/>
    <col min="12471" max="12472" width="19.36328125" style="55" customWidth="1"/>
    <col min="12473" max="12473" width="17.36328125" style="55" customWidth="1"/>
    <col min="12474" max="12474" width="22.453125" style="55" bestFit="1" customWidth="1"/>
    <col min="12475" max="12475" width="20.36328125" style="55" customWidth="1"/>
    <col min="12476" max="12476" width="21" style="55" customWidth="1"/>
    <col min="12477" max="12722" width="8.90625" style="55"/>
    <col min="12723" max="12723" width="7.54296875" style="55" customWidth="1"/>
    <col min="12724" max="12724" width="59.54296875" style="55" customWidth="1"/>
    <col min="12725" max="12725" width="11.453125" style="55" customWidth="1"/>
    <col min="12726" max="12726" width="7.08984375" style="55" bestFit="1" customWidth="1"/>
    <col min="12727" max="12728" width="19.36328125" style="55" customWidth="1"/>
    <col min="12729" max="12729" width="17.36328125" style="55" customWidth="1"/>
    <col min="12730" max="12730" width="22.453125" style="55" bestFit="1" customWidth="1"/>
    <col min="12731" max="12731" width="20.36328125" style="55" customWidth="1"/>
    <col min="12732" max="12732" width="21" style="55" customWidth="1"/>
    <col min="12733" max="12978" width="8.90625" style="55"/>
    <col min="12979" max="12979" width="7.54296875" style="55" customWidth="1"/>
    <col min="12980" max="12980" width="59.54296875" style="55" customWidth="1"/>
    <col min="12981" max="12981" width="11.453125" style="55" customWidth="1"/>
    <col min="12982" max="12982" width="7.08984375" style="55" bestFit="1" customWidth="1"/>
    <col min="12983" max="12984" width="19.36328125" style="55" customWidth="1"/>
    <col min="12985" max="12985" width="17.36328125" style="55" customWidth="1"/>
    <col min="12986" max="12986" width="22.453125" style="55" bestFit="1" customWidth="1"/>
    <col min="12987" max="12987" width="20.36328125" style="55" customWidth="1"/>
    <col min="12988" max="12988" width="21" style="55" customWidth="1"/>
    <col min="12989" max="13234" width="8.90625" style="55"/>
    <col min="13235" max="13235" width="7.54296875" style="55" customWidth="1"/>
    <col min="13236" max="13236" width="59.54296875" style="55" customWidth="1"/>
    <col min="13237" max="13237" width="11.453125" style="55" customWidth="1"/>
    <col min="13238" max="13238" width="7.08984375" style="55" bestFit="1" customWidth="1"/>
    <col min="13239" max="13240" width="19.36328125" style="55" customWidth="1"/>
    <col min="13241" max="13241" width="17.36328125" style="55" customWidth="1"/>
    <col min="13242" max="13242" width="22.453125" style="55" bestFit="1" customWidth="1"/>
    <col min="13243" max="13243" width="20.36328125" style="55" customWidth="1"/>
    <col min="13244" max="13244" width="21" style="55" customWidth="1"/>
    <col min="13245" max="13490" width="8.90625" style="55"/>
    <col min="13491" max="13491" width="7.54296875" style="55" customWidth="1"/>
    <col min="13492" max="13492" width="59.54296875" style="55" customWidth="1"/>
    <col min="13493" max="13493" width="11.453125" style="55" customWidth="1"/>
    <col min="13494" max="13494" width="7.08984375" style="55" bestFit="1" customWidth="1"/>
    <col min="13495" max="13496" width="19.36328125" style="55" customWidth="1"/>
    <col min="13497" max="13497" width="17.36328125" style="55" customWidth="1"/>
    <col min="13498" max="13498" width="22.453125" style="55" bestFit="1" customWidth="1"/>
    <col min="13499" max="13499" width="20.36328125" style="55" customWidth="1"/>
    <col min="13500" max="13500" width="21" style="55" customWidth="1"/>
    <col min="13501" max="16384" width="8.90625" style="55"/>
  </cols>
  <sheetData>
    <row r="1" spans="1:50" ht="20.5">
      <c r="A1" s="91" t="s">
        <v>188</v>
      </c>
      <c r="B1" s="73"/>
      <c r="C1" s="73"/>
      <c r="D1" s="74"/>
      <c r="E1" s="56"/>
      <c r="G1" s="55"/>
      <c r="H1" s="55"/>
      <c r="I1" s="55"/>
      <c r="J1" s="55"/>
      <c r="K1" s="55"/>
      <c r="L1" s="55"/>
      <c r="S1" s="604" t="s">
        <v>236</v>
      </c>
      <c r="T1" s="743">
        <v>1325000000</v>
      </c>
      <c r="U1" s="743"/>
      <c r="V1" s="743"/>
      <c r="W1" s="743"/>
      <c r="Y1" s="510"/>
      <c r="Z1" s="510" t="s">
        <v>239</v>
      </c>
      <c r="AA1" s="510">
        <v>350</v>
      </c>
      <c r="AB1" s="510" t="s">
        <v>202</v>
      </c>
      <c r="AC1" s="510"/>
      <c r="AD1" s="510">
        <f>1.8*1.2</f>
        <v>2.16</v>
      </c>
      <c r="AE1" s="510" t="s">
        <v>237</v>
      </c>
      <c r="AF1" s="510">
        <f>(AA1/AD1)*2.5</f>
        <v>405.09259259259261</v>
      </c>
      <c r="AG1" s="510" t="s">
        <v>238</v>
      </c>
      <c r="AH1" s="510">
        <v>35000</v>
      </c>
    </row>
    <row r="2" spans="1:50" ht="18.5" thickBot="1">
      <c r="A2" s="14" t="s">
        <v>23</v>
      </c>
      <c r="B2" s="73"/>
      <c r="C2" s="73" t="s">
        <v>24</v>
      </c>
      <c r="D2" s="15" t="s">
        <v>187</v>
      </c>
      <c r="E2" s="56"/>
      <c r="G2" s="79"/>
      <c r="H2" s="55"/>
      <c r="I2" s="55"/>
      <c r="J2" s="55"/>
      <c r="K2" s="55"/>
      <c r="L2" s="55"/>
      <c r="Q2" s="218" t="s">
        <v>199</v>
      </c>
      <c r="R2" s="217">
        <v>1325000000</v>
      </c>
      <c r="T2" s="510">
        <f>21500000</f>
        <v>21500000</v>
      </c>
      <c r="U2" s="510"/>
      <c r="V2" s="511">
        <f>T2/T1</f>
        <v>1.6226415094339624E-2</v>
      </c>
      <c r="W2" s="510"/>
      <c r="AE2" s="510"/>
      <c r="AF2" s="510">
        <f>AF1*20%</f>
        <v>81.018518518518533</v>
      </c>
      <c r="AG2" s="510" t="s">
        <v>238</v>
      </c>
      <c r="AW2" s="55" t="s">
        <v>178</v>
      </c>
    </row>
    <row r="3" spans="1:50" ht="18.5" hidden="1" thickBot="1">
      <c r="A3" s="14" t="s">
        <v>25</v>
      </c>
      <c r="B3" s="73"/>
      <c r="C3" s="73" t="s">
        <v>24</v>
      </c>
      <c r="D3" s="15" t="s">
        <v>185</v>
      </c>
      <c r="E3" s="56"/>
      <c r="G3" s="55"/>
      <c r="H3" s="55"/>
      <c r="I3" s="55"/>
      <c r="J3" s="55"/>
      <c r="K3" s="55"/>
      <c r="L3" s="55"/>
      <c r="Q3" s="218" t="s">
        <v>200</v>
      </c>
      <c r="R3" s="217">
        <f>REKAP!E16</f>
        <v>26703560</v>
      </c>
      <c r="S3" s="744" t="s">
        <v>242</v>
      </c>
      <c r="T3" s="739" t="e">
        <f>T4*#REF!</f>
        <v>#REF!</v>
      </c>
      <c r="U3" s="740"/>
      <c r="V3" s="740"/>
      <c r="W3" s="740"/>
      <c r="X3" s="718" t="e">
        <f>#REF!*X4</f>
        <v>#REF!</v>
      </c>
      <c r="Y3" s="719"/>
      <c r="Z3" s="719"/>
      <c r="AA3" s="719"/>
      <c r="AB3" s="718" t="e">
        <f>#REF!*AB4</f>
        <v>#REF!</v>
      </c>
      <c r="AC3" s="719"/>
      <c r="AD3" s="719"/>
      <c r="AE3" s="719"/>
      <c r="AF3" s="718" t="e">
        <f>AF4*#REF!</f>
        <v>#REF!</v>
      </c>
      <c r="AG3" s="719"/>
      <c r="AH3" s="719"/>
      <c r="AI3" s="719"/>
      <c r="AJ3" s="718" t="e">
        <f>AJ4*#REF!</f>
        <v>#REF!</v>
      </c>
      <c r="AK3" s="719"/>
      <c r="AL3" s="719"/>
      <c r="AM3" s="719"/>
      <c r="AW3" s="228" t="e">
        <f>SUM(T3:AU3)</f>
        <v>#REF!</v>
      </c>
    </row>
    <row r="4" spans="1:50" ht="18.5" hidden="1" thickBot="1">
      <c r="A4" s="18" t="s">
        <v>26</v>
      </c>
      <c r="B4" s="75"/>
      <c r="C4" s="75" t="s">
        <v>24</v>
      </c>
      <c r="D4" s="75" t="s">
        <v>186</v>
      </c>
      <c r="E4" s="716"/>
      <c r="F4" s="716"/>
      <c r="G4" s="716"/>
      <c r="H4" s="716"/>
      <c r="I4" s="716"/>
      <c r="J4" s="716"/>
      <c r="K4" s="716"/>
      <c r="L4" s="716"/>
      <c r="M4" s="219"/>
      <c r="N4" s="219"/>
      <c r="O4" s="219"/>
      <c r="P4" s="219"/>
      <c r="Q4" s="219"/>
      <c r="R4" s="220" t="e">
        <f>#REF!-R3</f>
        <v>#REF!</v>
      </c>
      <c r="S4" s="744"/>
      <c r="T4" s="434">
        <f>SUM(T6:W6)</f>
        <v>160188579.66567078</v>
      </c>
      <c r="U4" s="408"/>
      <c r="V4" s="409"/>
      <c r="W4" s="410"/>
      <c r="X4" s="411">
        <f>SUM(X6:Z6)</f>
        <v>246887007.95090854</v>
      </c>
      <c r="Y4" s="412"/>
      <c r="Z4" s="413"/>
      <c r="AA4" s="414"/>
      <c r="AB4" s="435">
        <f>SUM(AB6:AD6)</f>
        <v>129789986.00052255</v>
      </c>
      <c r="AC4" s="436"/>
      <c r="AD4" s="437"/>
      <c r="AE4" s="438"/>
      <c r="AF4" s="435">
        <f>SUM(AF6:AH6)</f>
        <v>247551370.65287119</v>
      </c>
      <c r="AG4" s="436"/>
      <c r="AH4" s="437"/>
      <c r="AI4" s="438"/>
      <c r="AJ4" s="435">
        <f>SUM(AJ6:AL6)</f>
        <v>225696647.19831404</v>
      </c>
      <c r="AK4" s="436"/>
      <c r="AL4" s="437"/>
      <c r="AM4" s="438"/>
      <c r="AW4" s="227">
        <f>SUM(T4:AU4)</f>
        <v>1010113591.4682871</v>
      </c>
    </row>
    <row r="5" spans="1:50" s="355" customFormat="1" ht="21.5" hidden="1" thickBot="1">
      <c r="A5" s="14" t="s">
        <v>25</v>
      </c>
      <c r="B5" s="502"/>
      <c r="C5" s="502" t="s">
        <v>24</v>
      </c>
      <c r="D5" s="504" t="s">
        <v>185</v>
      </c>
      <c r="E5" s="460"/>
      <c r="F5" s="460"/>
      <c r="G5" s="460"/>
      <c r="H5" s="460"/>
      <c r="I5" s="460"/>
      <c r="J5" s="460"/>
      <c r="K5" s="460"/>
      <c r="L5" s="460"/>
      <c r="M5" s="459"/>
      <c r="N5" s="459"/>
      <c r="O5" s="459"/>
      <c r="P5" s="459"/>
      <c r="Q5" s="459"/>
      <c r="R5" s="461"/>
      <c r="S5" s="629" t="s">
        <v>251</v>
      </c>
      <c r="T5" s="615">
        <v>0.2</v>
      </c>
      <c r="U5" s="736">
        <f>T1*T5</f>
        <v>265000000</v>
      </c>
      <c r="V5" s="737"/>
      <c r="W5" s="738"/>
      <c r="X5" s="722">
        <f>U5/7</f>
        <v>37857142.857142858</v>
      </c>
      <c r="Y5" s="723"/>
      <c r="Z5" s="723"/>
      <c r="AA5" s="723"/>
      <c r="AB5" s="616">
        <f>X5/U5</f>
        <v>0.14285714285714285</v>
      </c>
      <c r="AC5" s="617"/>
      <c r="AD5" s="617"/>
      <c r="AE5" s="617"/>
      <c r="AF5" s="618"/>
      <c r="AG5" s="618"/>
      <c r="AH5" s="618"/>
      <c r="AI5" s="618"/>
      <c r="AJ5" s="618"/>
      <c r="AK5" s="618"/>
      <c r="AL5" s="618"/>
      <c r="AM5" s="618"/>
      <c r="AN5" s="619"/>
      <c r="AO5" s="619"/>
      <c r="AP5" s="619"/>
      <c r="AQ5" s="619"/>
      <c r="AR5" s="619"/>
      <c r="AS5" s="619"/>
      <c r="AT5" s="619"/>
      <c r="AU5" s="620"/>
      <c r="AW5" s="463"/>
    </row>
    <row r="6" spans="1:50" s="355" customFormat="1" ht="21" hidden="1">
      <c r="A6" s="14" t="s">
        <v>26</v>
      </c>
      <c r="B6" s="504"/>
      <c r="C6" s="504" t="s">
        <v>24</v>
      </c>
      <c r="D6" s="504" t="s">
        <v>186</v>
      </c>
      <c r="E6" s="465"/>
      <c r="F6" s="462"/>
      <c r="Q6" s="460" t="s">
        <v>200</v>
      </c>
      <c r="R6" s="466">
        <f>REKAP!E18</f>
        <v>1406190906.5753999</v>
      </c>
      <c r="S6" s="629" t="s">
        <v>200</v>
      </c>
      <c r="T6" s="734">
        <f>T8*T1</f>
        <v>160188579.66567078</v>
      </c>
      <c r="U6" s="735"/>
      <c r="V6" s="735"/>
      <c r="W6" s="735"/>
      <c r="X6" s="734">
        <f>T1*X8</f>
        <v>246887007.95090854</v>
      </c>
      <c r="Y6" s="735"/>
      <c r="Z6" s="735"/>
      <c r="AA6" s="735"/>
      <c r="AB6" s="734">
        <f>T1*AB8</f>
        <v>129789986.00052255</v>
      </c>
      <c r="AC6" s="735"/>
      <c r="AD6" s="735"/>
      <c r="AE6" s="735"/>
      <c r="AF6" s="734">
        <f>AF8*T1</f>
        <v>247551370.65287119</v>
      </c>
      <c r="AG6" s="735"/>
      <c r="AH6" s="735"/>
      <c r="AI6" s="735"/>
      <c r="AJ6" s="734">
        <f>AJ8*$T$1</f>
        <v>225696647.19831404</v>
      </c>
      <c r="AK6" s="735"/>
      <c r="AL6" s="735"/>
      <c r="AM6" s="735"/>
      <c r="AN6" s="734">
        <f>AN8*$T$1</f>
        <v>181724458.47485405</v>
      </c>
      <c r="AO6" s="735"/>
      <c r="AP6" s="735"/>
      <c r="AQ6" s="735"/>
      <c r="AR6" s="734">
        <f>AR8*$T$1</f>
        <v>133161950.05685964</v>
      </c>
      <c r="AS6" s="735"/>
      <c r="AT6" s="735"/>
      <c r="AU6" s="735"/>
      <c r="AV6" s="460"/>
      <c r="AW6" s="467">
        <f>SUM(T6:AU6)</f>
        <v>1325000000.000001</v>
      </c>
    </row>
    <row r="7" spans="1:50" s="355" customFormat="1" ht="49.75" hidden="1" customHeight="1" thickBot="1">
      <c r="A7" s="458"/>
      <c r="B7" s="464"/>
      <c r="C7" s="464"/>
      <c r="D7" s="459"/>
      <c r="E7" s="465"/>
      <c r="F7" s="462"/>
      <c r="Q7" s="460" t="s">
        <v>200</v>
      </c>
      <c r="R7" s="466">
        <f>REKAP!E19</f>
        <v>28123818.131507996</v>
      </c>
      <c r="S7" s="629" t="s">
        <v>258</v>
      </c>
      <c r="T7" s="720">
        <f>T6-$X$5</f>
        <v>122331436.80852792</v>
      </c>
      <c r="U7" s="721"/>
      <c r="V7" s="721"/>
      <c r="W7" s="721"/>
      <c r="X7" s="720">
        <f t="shared" ref="X7" si="0">X6-$X$5</f>
        <v>209029865.09376568</v>
      </c>
      <c r="Y7" s="721"/>
      <c r="Z7" s="721"/>
      <c r="AA7" s="721"/>
      <c r="AB7" s="720">
        <f t="shared" ref="AB7" si="1">AB6-$X$5</f>
        <v>91932843.143379688</v>
      </c>
      <c r="AC7" s="721"/>
      <c r="AD7" s="721"/>
      <c r="AE7" s="721"/>
      <c r="AF7" s="720">
        <f t="shared" ref="AF7" si="2">AF6-$X$5</f>
        <v>209694227.79572833</v>
      </c>
      <c r="AG7" s="721"/>
      <c r="AH7" s="721"/>
      <c r="AI7" s="721"/>
      <c r="AJ7" s="720">
        <f t="shared" ref="AJ7" si="3">AJ6-$X$5</f>
        <v>187839504.34117118</v>
      </c>
      <c r="AK7" s="721"/>
      <c r="AL7" s="721"/>
      <c r="AM7" s="721"/>
      <c r="AN7" s="720">
        <f t="shared" ref="AN7" si="4">AN6-$X$5</f>
        <v>143867315.61771119</v>
      </c>
      <c r="AO7" s="721"/>
      <c r="AP7" s="721"/>
      <c r="AQ7" s="721"/>
      <c r="AR7" s="720">
        <f t="shared" ref="AR7" si="5">AR6-$X$5</f>
        <v>95304807.199716777</v>
      </c>
      <c r="AS7" s="721"/>
      <c r="AT7" s="721"/>
      <c r="AU7" s="721"/>
      <c r="AV7" s="460"/>
      <c r="AW7" s="467">
        <f>SUM(T7:AU7)</f>
        <v>1060000000.0000007</v>
      </c>
      <c r="AX7" s="468">
        <f>AW6-AW7-U5</f>
        <v>2.384185791015625E-7</v>
      </c>
    </row>
    <row r="8" spans="1:50" s="355" customFormat="1" ht="62.4" customHeight="1" thickBot="1">
      <c r="A8" s="469"/>
      <c r="B8" s="470"/>
      <c r="C8" s="470"/>
      <c r="D8" s="470"/>
      <c r="E8" s="728"/>
      <c r="F8" s="728"/>
      <c r="G8" s="728"/>
      <c r="H8" s="728"/>
      <c r="I8" s="728"/>
      <c r="J8" s="728"/>
      <c r="K8" s="728"/>
      <c r="L8" s="728"/>
      <c r="M8" s="471"/>
      <c r="N8" s="471"/>
      <c r="O8" s="471"/>
      <c r="P8" s="471"/>
      <c r="Q8" s="471"/>
      <c r="R8" s="472">
        <f>R2-R6</f>
        <v>-81190906.575399876</v>
      </c>
      <c r="S8" s="629" t="s">
        <v>259</v>
      </c>
      <c r="T8" s="615">
        <f>SUM(T9:W9)</f>
        <v>0.12089704125711002</v>
      </c>
      <c r="U8" s="621"/>
      <c r="V8" s="622"/>
      <c r="W8" s="623"/>
      <c r="X8" s="624">
        <f>SUM(X9:AA9)</f>
        <v>0.18632981732144041</v>
      </c>
      <c r="Y8" s="625"/>
      <c r="Z8" s="626"/>
      <c r="AA8" s="627"/>
      <c r="AB8" s="628">
        <f>SUM(AB9:AE9)</f>
        <v>9.7954706415488715E-2</v>
      </c>
      <c r="AC8" s="625"/>
      <c r="AD8" s="626"/>
      <c r="AE8" s="627"/>
      <c r="AF8" s="628">
        <f>SUM(AF9:AI9)</f>
        <v>0.18683122313424241</v>
      </c>
      <c r="AG8" s="625"/>
      <c r="AH8" s="626"/>
      <c r="AI8" s="627"/>
      <c r="AJ8" s="628">
        <f>SUM(AJ9:AM9)</f>
        <v>0.17033709222514268</v>
      </c>
      <c r="AK8" s="625"/>
      <c r="AL8" s="626"/>
      <c r="AM8" s="627"/>
      <c r="AN8" s="628">
        <f>SUM(AN9:AQ9)</f>
        <v>0.13715053469800306</v>
      </c>
      <c r="AO8" s="625"/>
      <c r="AP8" s="626"/>
      <c r="AQ8" s="627"/>
      <c r="AR8" s="628">
        <f>SUM(AR9:AU9)</f>
        <v>0.10049958494857332</v>
      </c>
      <c r="AS8" s="625"/>
      <c r="AT8" s="626"/>
      <c r="AU8" s="627"/>
      <c r="AV8" s="473"/>
      <c r="AW8" s="463">
        <f>SUM(T8:AU8)</f>
        <v>1.0000000000000007</v>
      </c>
      <c r="AX8" s="419">
        <f>1-AW8</f>
        <v>0</v>
      </c>
    </row>
    <row r="9" spans="1:50" ht="18.5" thickBot="1">
      <c r="A9" s="14"/>
      <c r="B9" s="15"/>
      <c r="C9" s="15"/>
      <c r="D9" s="15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T9" s="439">
        <f t="shared" ref="T9:W9" si="6">SUM(T13:T152)</f>
        <v>3.9571670657735883E-2</v>
      </c>
      <c r="U9" s="439">
        <f t="shared" si="6"/>
        <v>3.9571670657735883E-2</v>
      </c>
      <c r="V9" s="439">
        <f t="shared" si="6"/>
        <v>2.8493141145499966E-2</v>
      </c>
      <c r="W9" s="439">
        <f t="shared" si="6"/>
        <v>1.3260558796138289E-2</v>
      </c>
      <c r="X9" s="440">
        <f>SUM(X13:X152)</f>
        <v>2.533691648502661E-2</v>
      </c>
      <c r="Y9" s="440">
        <f t="shared" ref="Y9:AA9" si="7">SUM(Y13:Y152)</f>
        <v>5.7689752841767382E-2</v>
      </c>
      <c r="Z9" s="440">
        <f t="shared" si="7"/>
        <v>5.7689752841767382E-2</v>
      </c>
      <c r="AA9" s="440">
        <f t="shared" si="7"/>
        <v>4.5613395152879051E-2</v>
      </c>
      <c r="AB9" s="441">
        <f>SUM(AB13:AB152)</f>
        <v>4.5613395152879051E-2</v>
      </c>
      <c r="AC9" s="441">
        <f t="shared" ref="AC9:AE9" si="8">SUM(AC13:AC152)</f>
        <v>1.7447103754203223E-2</v>
      </c>
      <c r="AD9" s="441">
        <f t="shared" si="8"/>
        <v>1.7447103754203223E-2</v>
      </c>
      <c r="AE9" s="441">
        <f t="shared" si="8"/>
        <v>1.7447103754203223E-2</v>
      </c>
      <c r="AF9" s="441">
        <f>SUM(AF13:AF152)</f>
        <v>4.6973017372724017E-2</v>
      </c>
      <c r="AG9" s="441">
        <f t="shared" ref="AG9:AI9" si="9">SUM(AG13:AG152)</f>
        <v>4.6973017372724017E-2</v>
      </c>
      <c r="AH9" s="441">
        <f t="shared" si="9"/>
        <v>4.644259419439719E-2</v>
      </c>
      <c r="AI9" s="441">
        <f t="shared" si="9"/>
        <v>4.644259419439719E-2</v>
      </c>
      <c r="AJ9" s="441">
        <f>SUM(AJ13:AJ152)</f>
        <v>5.2690722708751865E-2</v>
      </c>
      <c r="AK9" s="441">
        <f t="shared" ref="AK9:AM9" si="10">SUM(AK13:AK152)</f>
        <v>3.1964355057819166E-2</v>
      </c>
      <c r="AL9" s="441">
        <f t="shared" si="10"/>
        <v>4.284100722928582E-2</v>
      </c>
      <c r="AM9" s="441">
        <f t="shared" si="10"/>
        <v>4.284100722928582E-2</v>
      </c>
      <c r="AN9" s="441">
        <f>SUM(AN13:AN152)</f>
        <v>2.288693939463031E-2</v>
      </c>
      <c r="AO9" s="441">
        <f t="shared" ref="AO9:AQ9" si="11">SUM(AO13:AO152)</f>
        <v>2.288693939463031E-2</v>
      </c>
      <c r="AP9" s="441">
        <f t="shared" si="11"/>
        <v>4.5688327954371215E-2</v>
      </c>
      <c r="AQ9" s="441">
        <f t="shared" si="11"/>
        <v>4.5688327954371215E-2</v>
      </c>
      <c r="AR9" s="441">
        <f>SUM(AR13:AR152)</f>
        <v>3.9440199440016539E-2</v>
      </c>
      <c r="AS9" s="441">
        <f t="shared" ref="AS9:AU9" si="12">SUM(AS13:AS152)</f>
        <v>3.9440199440016539E-2</v>
      </c>
      <c r="AT9" s="441">
        <f t="shared" si="12"/>
        <v>2.0304591144104704E-2</v>
      </c>
      <c r="AU9" s="441">
        <f t="shared" si="12"/>
        <v>1.314594924435538E-3</v>
      </c>
      <c r="AV9" s="402"/>
      <c r="AX9" s="55" t="s">
        <v>248</v>
      </c>
    </row>
    <row r="10" spans="1:50" s="58" customFormat="1">
      <c r="A10" s="729" t="s">
        <v>0</v>
      </c>
      <c r="B10" s="708" t="s">
        <v>1</v>
      </c>
      <c r="C10" s="709"/>
      <c r="D10" s="710"/>
      <c r="E10" s="714" t="s">
        <v>27</v>
      </c>
      <c r="F10" s="714"/>
      <c r="G10" s="109" t="s">
        <v>39</v>
      </c>
      <c r="H10" s="109" t="s">
        <v>40</v>
      </c>
      <c r="I10" s="110" t="s">
        <v>37</v>
      </c>
      <c r="J10" s="109" t="s">
        <v>41</v>
      </c>
      <c r="K10" s="109" t="s">
        <v>42</v>
      </c>
      <c r="L10" s="112" t="s">
        <v>38</v>
      </c>
      <c r="M10" s="731" t="s">
        <v>179</v>
      </c>
      <c r="N10" s="731" t="s">
        <v>180</v>
      </c>
      <c r="O10" s="731" t="s">
        <v>181</v>
      </c>
      <c r="P10" s="731" t="s">
        <v>182</v>
      </c>
      <c r="Q10" s="731" t="s">
        <v>184</v>
      </c>
      <c r="R10" s="741" t="s">
        <v>178</v>
      </c>
      <c r="S10" s="606" t="s">
        <v>197</v>
      </c>
      <c r="T10" s="742" t="s">
        <v>229</v>
      </c>
      <c r="U10" s="726"/>
      <c r="V10" s="726"/>
      <c r="W10" s="727"/>
      <c r="X10" s="725" t="s">
        <v>230</v>
      </c>
      <c r="Y10" s="726"/>
      <c r="Z10" s="726"/>
      <c r="AA10" s="727"/>
      <c r="AB10" s="725" t="s">
        <v>231</v>
      </c>
      <c r="AC10" s="726"/>
      <c r="AD10" s="726"/>
      <c r="AE10" s="727"/>
      <c r="AF10" s="725" t="s">
        <v>232</v>
      </c>
      <c r="AG10" s="726"/>
      <c r="AH10" s="726"/>
      <c r="AI10" s="727"/>
      <c r="AJ10" s="725" t="s">
        <v>233</v>
      </c>
      <c r="AK10" s="726"/>
      <c r="AL10" s="726"/>
      <c r="AM10" s="727"/>
      <c r="AN10" s="725" t="s">
        <v>234</v>
      </c>
      <c r="AO10" s="726"/>
      <c r="AP10" s="726"/>
      <c r="AQ10" s="727"/>
      <c r="AR10" s="725" t="s">
        <v>235</v>
      </c>
      <c r="AS10" s="726"/>
      <c r="AT10" s="726"/>
      <c r="AU10" s="727"/>
      <c r="AV10" s="403"/>
    </row>
    <row r="11" spans="1:50" s="58" customFormat="1" ht="16" thickBot="1">
      <c r="A11" s="730"/>
      <c r="B11" s="711"/>
      <c r="C11" s="712"/>
      <c r="D11" s="713"/>
      <c r="E11" s="715"/>
      <c r="F11" s="715"/>
      <c r="G11" s="111" t="s">
        <v>29</v>
      </c>
      <c r="H11" s="111" t="s">
        <v>29</v>
      </c>
      <c r="I11" s="111" t="s">
        <v>29</v>
      </c>
      <c r="J11" s="111" t="s">
        <v>29</v>
      </c>
      <c r="K11" s="111" t="s">
        <v>29</v>
      </c>
      <c r="L11" s="113" t="s">
        <v>29</v>
      </c>
      <c r="M11" s="732"/>
      <c r="N11" s="732"/>
      <c r="O11" s="732"/>
      <c r="P11" s="732"/>
      <c r="Q11" s="733"/>
      <c r="R11" s="732"/>
      <c r="S11" s="607" t="s">
        <v>196</v>
      </c>
      <c r="T11" s="218" t="s">
        <v>201</v>
      </c>
      <c r="U11" s="218" t="s">
        <v>202</v>
      </c>
      <c r="V11" s="218" t="s">
        <v>203</v>
      </c>
      <c r="W11" s="218" t="s">
        <v>204</v>
      </c>
      <c r="X11" s="218" t="s">
        <v>205</v>
      </c>
      <c r="Y11" s="218" t="s">
        <v>206</v>
      </c>
      <c r="Z11" s="218" t="s">
        <v>207</v>
      </c>
      <c r="AA11" s="218" t="s">
        <v>208</v>
      </c>
      <c r="AB11" s="218" t="s">
        <v>209</v>
      </c>
      <c r="AC11" s="218" t="s">
        <v>210</v>
      </c>
      <c r="AD11" s="218" t="s">
        <v>211</v>
      </c>
      <c r="AE11" s="218" t="s">
        <v>212</v>
      </c>
      <c r="AF11" s="218" t="s">
        <v>213</v>
      </c>
      <c r="AG11" s="218" t="s">
        <v>214</v>
      </c>
      <c r="AH11" s="218" t="s">
        <v>215</v>
      </c>
      <c r="AI11" s="218" t="s">
        <v>216</v>
      </c>
      <c r="AJ11" s="218" t="s">
        <v>217</v>
      </c>
      <c r="AK11" s="218" t="s">
        <v>218</v>
      </c>
      <c r="AL11" s="218" t="s">
        <v>219</v>
      </c>
      <c r="AM11" s="218" t="s">
        <v>220</v>
      </c>
      <c r="AN11" s="218" t="s">
        <v>221</v>
      </c>
      <c r="AO11" s="218" t="s">
        <v>222</v>
      </c>
      <c r="AP11" s="218" t="s">
        <v>223</v>
      </c>
      <c r="AQ11" s="218" t="s">
        <v>224</v>
      </c>
      <c r="AR11" s="218" t="s">
        <v>225</v>
      </c>
      <c r="AS11" s="218" t="s">
        <v>226</v>
      </c>
      <c r="AT11" s="442" t="s">
        <v>227</v>
      </c>
      <c r="AU11" s="442" t="s">
        <v>228</v>
      </c>
      <c r="AV11" s="404"/>
    </row>
    <row r="12" spans="1:50" ht="18.5" thickTop="1">
      <c r="A12" s="89" t="s">
        <v>2</v>
      </c>
      <c r="B12" s="90" t="s">
        <v>54</v>
      </c>
      <c r="C12" s="59"/>
      <c r="D12" s="60"/>
      <c r="E12" s="135"/>
      <c r="F12" s="136"/>
      <c r="G12" s="115"/>
      <c r="H12" s="115"/>
      <c r="I12" s="115"/>
      <c r="J12" s="115"/>
      <c r="K12" s="115"/>
      <c r="L12" s="115"/>
      <c r="Q12" s="165"/>
      <c r="R12" s="165"/>
      <c r="T12" s="443"/>
      <c r="U12" s="443"/>
      <c r="V12" s="443"/>
      <c r="W12" s="443"/>
      <c r="X12" s="443"/>
      <c r="Y12" s="443"/>
      <c r="Z12" s="443"/>
      <c r="AA12" s="443"/>
      <c r="AB12" s="443"/>
      <c r="AC12" s="443"/>
      <c r="AD12" s="443"/>
      <c r="AE12" s="443"/>
      <c r="AF12" s="443"/>
      <c r="AG12" s="443"/>
      <c r="AH12" s="443"/>
      <c r="AI12" s="443"/>
      <c r="AJ12" s="443"/>
      <c r="AK12" s="443"/>
      <c r="AL12" s="443"/>
      <c r="AM12" s="443"/>
      <c r="AN12" s="443"/>
      <c r="AO12" s="443"/>
      <c r="AP12" s="443"/>
      <c r="AQ12" s="443"/>
      <c r="AR12" s="443"/>
      <c r="AS12" s="443"/>
      <c r="AT12" s="443"/>
      <c r="AU12" s="443"/>
    </row>
    <row r="13" spans="1:50" ht="13.5" customHeight="1">
      <c r="A13" s="85" t="s">
        <v>2</v>
      </c>
      <c r="B13" s="95" t="s">
        <v>3</v>
      </c>
      <c r="C13" s="160"/>
      <c r="D13" s="161"/>
      <c r="E13" s="137"/>
      <c r="F13" s="138"/>
      <c r="G13" s="116"/>
      <c r="H13" s="116"/>
      <c r="I13" s="116"/>
      <c r="J13" s="116"/>
      <c r="K13" s="116"/>
      <c r="L13" s="116"/>
      <c r="Q13" s="165"/>
      <c r="R13" s="165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AP13" s="444"/>
      <c r="AQ13" s="444"/>
      <c r="AR13" s="444"/>
      <c r="AS13" s="444"/>
      <c r="AT13" s="444"/>
      <c r="AU13" s="444"/>
    </row>
    <row r="14" spans="1:50">
      <c r="A14" s="94">
        <v>1</v>
      </c>
      <c r="B14" s="86" t="s">
        <v>62</v>
      </c>
      <c r="C14" s="61"/>
      <c r="D14" s="84"/>
      <c r="E14" s="139">
        <v>128</v>
      </c>
      <c r="F14" s="140" t="s">
        <v>13</v>
      </c>
      <c r="G14" s="127">
        <v>10000</v>
      </c>
      <c r="H14" s="116">
        <v>10000</v>
      </c>
      <c r="I14" s="116">
        <f>H14+G14</f>
        <v>20000</v>
      </c>
      <c r="J14" s="116">
        <f>E14*G14</f>
        <v>1280000</v>
      </c>
      <c r="K14" s="116">
        <f>E14*H14</f>
        <v>1280000</v>
      </c>
      <c r="L14" s="116">
        <v>2944000</v>
      </c>
      <c r="M14" s="114"/>
      <c r="N14" s="96"/>
      <c r="O14" s="114"/>
      <c r="P14" s="96">
        <f t="shared" ref="P14:P19" si="13">I14*15%</f>
        <v>3000</v>
      </c>
      <c r="Q14" s="166">
        <f t="shared" ref="Q14:Q19" si="14">I14+M14+N14+O14+P14</f>
        <v>23000</v>
      </c>
      <c r="R14" s="167">
        <f t="shared" ref="R14:R19" si="15">Q14*E14</f>
        <v>2944000</v>
      </c>
      <c r="S14" s="608">
        <f>R14/$R$6</f>
        <v>2.0935990883127953E-3</v>
      </c>
      <c r="T14" s="445">
        <f>S14/2</f>
        <v>1.0467995441563976E-3</v>
      </c>
      <c r="U14" s="445">
        <f>T14</f>
        <v>1.0467995441563976E-3</v>
      </c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AP14" s="444"/>
      <c r="AQ14" s="444"/>
      <c r="AR14" s="444"/>
      <c r="AS14" s="444"/>
      <c r="AT14" s="444"/>
      <c r="AU14" s="444"/>
      <c r="AV14" s="405"/>
      <c r="AW14" s="385">
        <f>SUM(T14:AU14)</f>
        <v>2.0935990883127953E-3</v>
      </c>
      <c r="AX14" s="167">
        <f>S14-AW14</f>
        <v>0</v>
      </c>
    </row>
    <row r="15" spans="1:50">
      <c r="A15" s="94">
        <v>2</v>
      </c>
      <c r="B15" s="86" t="s">
        <v>63</v>
      </c>
      <c r="C15" s="61"/>
      <c r="D15" s="84"/>
      <c r="E15" s="139">
        <v>854</v>
      </c>
      <c r="F15" s="140" t="s">
        <v>14</v>
      </c>
      <c r="G15" s="127">
        <v>0</v>
      </c>
      <c r="H15" s="116">
        <v>2000</v>
      </c>
      <c r="I15" s="116">
        <f>H15+G15</f>
        <v>2000</v>
      </c>
      <c r="J15" s="116">
        <f>E15*G15</f>
        <v>0</v>
      </c>
      <c r="K15" s="116">
        <f>E15*H15</f>
        <v>1708000</v>
      </c>
      <c r="L15" s="116">
        <v>1964200</v>
      </c>
      <c r="M15" s="114"/>
      <c r="N15" s="114"/>
      <c r="O15" s="114"/>
      <c r="P15" s="96">
        <f t="shared" si="13"/>
        <v>300</v>
      </c>
      <c r="Q15" s="166">
        <f t="shared" si="14"/>
        <v>2300</v>
      </c>
      <c r="R15" s="167">
        <f t="shared" si="15"/>
        <v>1964200</v>
      </c>
      <c r="S15" s="608">
        <f t="shared" ref="S15:S22" si="16">R15/$R$6</f>
        <v>1.3968231417336929E-3</v>
      </c>
      <c r="T15" s="445">
        <f t="shared" ref="T15:T20" si="17">S15/2</f>
        <v>6.9841157086684643E-4</v>
      </c>
      <c r="U15" s="445">
        <f t="shared" ref="U15:U20" si="18">T15</f>
        <v>6.9841157086684643E-4</v>
      </c>
      <c r="V15" s="444"/>
      <c r="W15" s="444"/>
      <c r="X15" s="444"/>
      <c r="Y15" s="444"/>
      <c r="Z15" s="444"/>
      <c r="AA15" s="444"/>
      <c r="AB15" s="444"/>
      <c r="AC15" s="444"/>
      <c r="AD15" s="444"/>
      <c r="AE15" s="444"/>
      <c r="AF15" s="444"/>
      <c r="AG15" s="444"/>
      <c r="AH15" s="444"/>
      <c r="AI15" s="444"/>
      <c r="AJ15" s="444"/>
      <c r="AK15" s="444"/>
      <c r="AL15" s="444"/>
      <c r="AM15" s="444"/>
      <c r="AN15" s="444"/>
      <c r="AO15" s="444"/>
      <c r="AP15" s="444"/>
      <c r="AQ15" s="444"/>
      <c r="AR15" s="444"/>
      <c r="AS15" s="444"/>
      <c r="AT15" s="444"/>
      <c r="AU15" s="444"/>
      <c r="AV15" s="405"/>
      <c r="AW15" s="385">
        <f t="shared" ref="AW15:AW78" si="19">SUM(T15:AU15)</f>
        <v>1.3968231417336929E-3</v>
      </c>
      <c r="AX15" s="167">
        <f t="shared" ref="AX15:AX78" si="20">S15-AW15</f>
        <v>0</v>
      </c>
    </row>
    <row r="16" spans="1:50">
      <c r="A16" s="94">
        <v>3</v>
      </c>
      <c r="B16" s="92" t="s">
        <v>58</v>
      </c>
      <c r="C16" s="61"/>
      <c r="D16" s="84"/>
      <c r="E16" s="141">
        <v>30</v>
      </c>
      <c r="F16" s="142" t="s">
        <v>64</v>
      </c>
      <c r="G16" s="127">
        <v>183333</v>
      </c>
      <c r="H16" s="116">
        <v>100000</v>
      </c>
      <c r="I16" s="116">
        <f t="shared" ref="I16:I112" si="21">H16+G16</f>
        <v>283333</v>
      </c>
      <c r="J16" s="116">
        <f t="shared" ref="J16:J22" si="22">E16*G16</f>
        <v>5499990</v>
      </c>
      <c r="K16" s="116">
        <f t="shared" ref="K16:K22" si="23">E16*H16</f>
        <v>3000000</v>
      </c>
      <c r="L16" s="116">
        <v>9774988.5</v>
      </c>
      <c r="M16" s="114"/>
      <c r="N16" s="114"/>
      <c r="O16" s="114"/>
      <c r="P16" s="96">
        <f t="shared" si="13"/>
        <v>42499.95</v>
      </c>
      <c r="Q16" s="166">
        <f t="shared" si="14"/>
        <v>325832.95</v>
      </c>
      <c r="R16" s="167">
        <f t="shared" si="15"/>
        <v>9774988.5</v>
      </c>
      <c r="S16" s="608">
        <f t="shared" si="16"/>
        <v>6.9513950447921387E-3</v>
      </c>
      <c r="T16" s="445">
        <f t="shared" si="17"/>
        <v>3.4756975223960694E-3</v>
      </c>
      <c r="U16" s="445">
        <f t="shared" si="18"/>
        <v>3.4756975223960694E-3</v>
      </c>
      <c r="V16" s="444"/>
      <c r="W16" s="444"/>
      <c r="X16" s="444"/>
      <c r="Y16" s="444"/>
      <c r="Z16" s="444"/>
      <c r="AA16" s="444"/>
      <c r="AB16" s="444"/>
      <c r="AC16" s="444"/>
      <c r="AD16" s="444"/>
      <c r="AE16" s="444"/>
      <c r="AF16" s="444"/>
      <c r="AG16" s="444"/>
      <c r="AH16" s="444"/>
      <c r="AI16" s="444"/>
      <c r="AJ16" s="444"/>
      <c r="AK16" s="444"/>
      <c r="AL16" s="444"/>
      <c r="AM16" s="444"/>
      <c r="AN16" s="444"/>
      <c r="AO16" s="444"/>
      <c r="AP16" s="444"/>
      <c r="AQ16" s="444"/>
      <c r="AR16" s="444"/>
      <c r="AS16" s="444"/>
      <c r="AT16" s="444"/>
      <c r="AU16" s="444"/>
      <c r="AV16" s="405"/>
      <c r="AW16" s="385">
        <f t="shared" si="19"/>
        <v>6.9513950447921387E-3</v>
      </c>
      <c r="AX16" s="167">
        <f t="shared" si="20"/>
        <v>0</v>
      </c>
    </row>
    <row r="17" spans="1:50">
      <c r="A17" s="94">
        <v>4</v>
      </c>
      <c r="B17" s="92" t="s">
        <v>250</v>
      </c>
      <c r="C17" s="61"/>
      <c r="D17" s="226" t="s">
        <v>249</v>
      </c>
      <c r="E17" s="141">
        <v>1</v>
      </c>
      <c r="F17" s="142" t="s">
        <v>56</v>
      </c>
      <c r="G17" s="127">
        <v>1500000</v>
      </c>
      <c r="H17" s="116">
        <v>1000000</v>
      </c>
      <c r="I17" s="116">
        <f t="shared" si="21"/>
        <v>2500000</v>
      </c>
      <c r="J17" s="116">
        <f t="shared" si="22"/>
        <v>1500000</v>
      </c>
      <c r="K17" s="116">
        <f t="shared" si="23"/>
        <v>1000000</v>
      </c>
      <c r="L17" s="116">
        <v>2875000</v>
      </c>
      <c r="M17" s="114"/>
      <c r="N17" s="114"/>
      <c r="O17" s="114"/>
      <c r="P17" s="96">
        <f t="shared" si="13"/>
        <v>375000</v>
      </c>
      <c r="Q17" s="166">
        <f t="shared" si="14"/>
        <v>2875000</v>
      </c>
      <c r="R17" s="167">
        <f t="shared" si="15"/>
        <v>2875000</v>
      </c>
      <c r="S17" s="608">
        <f t="shared" si="16"/>
        <v>2.0445303596804639E-3</v>
      </c>
      <c r="T17" s="445">
        <f t="shared" si="17"/>
        <v>1.022265179840232E-3</v>
      </c>
      <c r="U17" s="445">
        <f t="shared" si="18"/>
        <v>1.022265179840232E-3</v>
      </c>
      <c r="V17" s="444"/>
      <c r="W17" s="444"/>
      <c r="X17" s="444"/>
      <c r="Y17" s="444"/>
      <c r="Z17" s="444"/>
      <c r="AA17" s="444"/>
      <c r="AB17" s="444"/>
      <c r="AC17" s="444"/>
      <c r="AD17" s="444"/>
      <c r="AE17" s="444"/>
      <c r="AF17" s="444"/>
      <c r="AG17" s="444"/>
      <c r="AH17" s="444"/>
      <c r="AI17" s="444"/>
      <c r="AJ17" s="444"/>
      <c r="AK17" s="444"/>
      <c r="AL17" s="444"/>
      <c r="AM17" s="444"/>
      <c r="AN17" s="444"/>
      <c r="AO17" s="444"/>
      <c r="AP17" s="444"/>
      <c r="AQ17" s="444"/>
      <c r="AR17" s="444"/>
      <c r="AS17" s="444"/>
      <c r="AT17" s="444"/>
      <c r="AU17" s="444"/>
      <c r="AV17" s="405"/>
      <c r="AW17" s="385">
        <f t="shared" si="19"/>
        <v>2.0445303596804639E-3</v>
      </c>
      <c r="AX17" s="167">
        <f t="shared" si="20"/>
        <v>0</v>
      </c>
    </row>
    <row r="18" spans="1:50">
      <c r="A18" s="94">
        <v>5</v>
      </c>
      <c r="B18" s="92" t="s">
        <v>60</v>
      </c>
      <c r="C18" s="61"/>
      <c r="D18" s="84"/>
      <c r="E18" s="141">
        <v>1</v>
      </c>
      <c r="F18" s="142" t="s">
        <v>56</v>
      </c>
      <c r="G18" s="127">
        <v>0</v>
      </c>
      <c r="H18" s="116">
        <v>7500000</v>
      </c>
      <c r="I18" s="116">
        <f t="shared" si="21"/>
        <v>7500000</v>
      </c>
      <c r="J18" s="116">
        <f t="shared" si="22"/>
        <v>0</v>
      </c>
      <c r="K18" s="116">
        <f t="shared" si="23"/>
        <v>7500000</v>
      </c>
      <c r="L18" s="116">
        <v>7500000</v>
      </c>
      <c r="M18" s="114"/>
      <c r="N18" s="114"/>
      <c r="O18" s="114"/>
      <c r="P18" s="96"/>
      <c r="Q18" s="166">
        <f t="shared" si="14"/>
        <v>7500000</v>
      </c>
      <c r="R18" s="167">
        <f t="shared" si="15"/>
        <v>7500000</v>
      </c>
      <c r="S18" s="608">
        <f t="shared" si="16"/>
        <v>5.3335574600359929E-3</v>
      </c>
      <c r="T18" s="445">
        <f t="shared" si="17"/>
        <v>2.6667787300179964E-3</v>
      </c>
      <c r="U18" s="445">
        <f t="shared" si="18"/>
        <v>2.6667787300179964E-3</v>
      </c>
      <c r="V18" s="444"/>
      <c r="W18" s="444"/>
      <c r="X18" s="444"/>
      <c r="Y18" s="444"/>
      <c r="Z18" s="444"/>
      <c r="AA18" s="444"/>
      <c r="AB18" s="444"/>
      <c r="AC18" s="444"/>
      <c r="AD18" s="444"/>
      <c r="AE18" s="444"/>
      <c r="AF18" s="444"/>
      <c r="AG18" s="444"/>
      <c r="AH18" s="444"/>
      <c r="AI18" s="444"/>
      <c r="AJ18" s="444"/>
      <c r="AK18" s="444"/>
      <c r="AL18" s="444"/>
      <c r="AM18" s="444"/>
      <c r="AN18" s="444"/>
      <c r="AO18" s="444"/>
      <c r="AP18" s="444"/>
      <c r="AQ18" s="444"/>
      <c r="AR18" s="444"/>
      <c r="AS18" s="444"/>
      <c r="AT18" s="444"/>
      <c r="AU18" s="444"/>
      <c r="AV18" s="405"/>
      <c r="AW18" s="385">
        <f t="shared" si="19"/>
        <v>5.3335574600359929E-3</v>
      </c>
      <c r="AX18" s="167">
        <f t="shared" si="20"/>
        <v>0</v>
      </c>
    </row>
    <row r="19" spans="1:50">
      <c r="A19" s="94">
        <v>6</v>
      </c>
      <c r="B19" s="92" t="s">
        <v>59</v>
      </c>
      <c r="C19" s="61"/>
      <c r="D19" s="84"/>
      <c r="E19" s="141">
        <v>3</v>
      </c>
      <c r="F19" s="142" t="s">
        <v>18</v>
      </c>
      <c r="G19" s="127">
        <v>111333</v>
      </c>
      <c r="H19" s="116">
        <v>39000</v>
      </c>
      <c r="I19" s="116">
        <f t="shared" si="21"/>
        <v>150333</v>
      </c>
      <c r="J19" s="116">
        <f t="shared" si="22"/>
        <v>333999</v>
      </c>
      <c r="K19" s="116">
        <f t="shared" si="23"/>
        <v>117000</v>
      </c>
      <c r="L19" s="116">
        <v>518648.85000000003</v>
      </c>
      <c r="M19" s="114"/>
      <c r="N19" s="114"/>
      <c r="O19" s="114"/>
      <c r="P19" s="96">
        <f t="shared" si="13"/>
        <v>22549.95</v>
      </c>
      <c r="Q19" s="166">
        <f t="shared" si="14"/>
        <v>172882.95</v>
      </c>
      <c r="R19" s="167">
        <f t="shared" si="15"/>
        <v>518648.85000000003</v>
      </c>
      <c r="S19" s="608">
        <f t="shared" si="16"/>
        <v>3.6883245907421184E-4</v>
      </c>
      <c r="T19" s="445">
        <f t="shared" si="17"/>
        <v>1.8441622953710592E-4</v>
      </c>
      <c r="U19" s="445">
        <f t="shared" si="18"/>
        <v>1.8441622953710592E-4</v>
      </c>
      <c r="V19" s="444"/>
      <c r="W19" s="444"/>
      <c r="X19" s="444"/>
      <c r="Y19" s="444"/>
      <c r="Z19" s="444"/>
      <c r="AA19" s="444"/>
      <c r="AB19" s="444"/>
      <c r="AC19" s="444"/>
      <c r="AD19" s="444"/>
      <c r="AE19" s="444"/>
      <c r="AF19" s="444"/>
      <c r="AG19" s="444"/>
      <c r="AH19" s="444"/>
      <c r="AI19" s="444"/>
      <c r="AJ19" s="444"/>
      <c r="AK19" s="444"/>
      <c r="AL19" s="444"/>
      <c r="AM19" s="444"/>
      <c r="AN19" s="444"/>
      <c r="AO19" s="444"/>
      <c r="AP19" s="444"/>
      <c r="AQ19" s="444"/>
      <c r="AR19" s="444"/>
      <c r="AS19" s="444"/>
      <c r="AT19" s="444"/>
      <c r="AU19" s="444"/>
      <c r="AV19" s="405"/>
      <c r="AW19" s="385">
        <f t="shared" si="19"/>
        <v>3.6883245907421184E-4</v>
      </c>
      <c r="AX19" s="167">
        <f t="shared" si="20"/>
        <v>0</v>
      </c>
    </row>
    <row r="20" spans="1:50">
      <c r="A20" s="94">
        <v>7</v>
      </c>
      <c r="B20" s="92" t="s">
        <v>173</v>
      </c>
      <c r="C20" s="61"/>
      <c r="D20" s="84"/>
      <c r="E20" s="143">
        <v>1</v>
      </c>
      <c r="F20" s="144" t="s">
        <v>56</v>
      </c>
      <c r="G20" s="128">
        <v>10000000</v>
      </c>
      <c r="H20" s="117"/>
      <c r="I20" s="117"/>
      <c r="J20" s="117">
        <f t="shared" si="22"/>
        <v>10000000</v>
      </c>
      <c r="K20" s="117"/>
      <c r="L20" s="116">
        <v>10000000</v>
      </c>
      <c r="M20" s="114"/>
      <c r="N20" s="114"/>
      <c r="O20" s="114"/>
      <c r="P20" s="96"/>
      <c r="Q20" s="166"/>
      <c r="R20" s="166">
        <f>Q20+L20</f>
        <v>10000000</v>
      </c>
      <c r="S20" s="608">
        <f t="shared" si="16"/>
        <v>7.1114099467146571E-3</v>
      </c>
      <c r="T20" s="445">
        <f t="shared" si="17"/>
        <v>3.5557049733573286E-3</v>
      </c>
      <c r="U20" s="445">
        <f t="shared" si="18"/>
        <v>3.5557049733573286E-3</v>
      </c>
      <c r="V20" s="444"/>
      <c r="W20" s="444"/>
      <c r="X20" s="444"/>
      <c r="Y20" s="444"/>
      <c r="Z20" s="444"/>
      <c r="AA20" s="444"/>
      <c r="AB20" s="444"/>
      <c r="AC20" s="444"/>
      <c r="AD20" s="444"/>
      <c r="AE20" s="444"/>
      <c r="AF20" s="444"/>
      <c r="AG20" s="444"/>
      <c r="AH20" s="444"/>
      <c r="AI20" s="444"/>
      <c r="AJ20" s="444"/>
      <c r="AK20" s="444"/>
      <c r="AL20" s="444"/>
      <c r="AM20" s="444"/>
      <c r="AN20" s="444"/>
      <c r="AO20" s="444"/>
      <c r="AP20" s="444"/>
      <c r="AQ20" s="444"/>
      <c r="AR20" s="444"/>
      <c r="AS20" s="444"/>
      <c r="AT20" s="444"/>
      <c r="AU20" s="444"/>
      <c r="AV20" s="405"/>
      <c r="AW20" s="385">
        <f t="shared" si="19"/>
        <v>7.1114099467146571E-3</v>
      </c>
      <c r="AX20" s="167">
        <f t="shared" si="20"/>
        <v>0</v>
      </c>
    </row>
    <row r="21" spans="1:50">
      <c r="A21" s="94">
        <v>8</v>
      </c>
      <c r="B21" s="92" t="s">
        <v>174</v>
      </c>
      <c r="C21" s="61"/>
      <c r="D21" s="84"/>
      <c r="E21" s="143">
        <v>8</v>
      </c>
      <c r="F21" s="144" t="s">
        <v>56</v>
      </c>
      <c r="G21" s="128"/>
      <c r="H21" s="117">
        <v>1000000</v>
      </c>
      <c r="I21" s="117"/>
      <c r="J21" s="117">
        <f t="shared" si="22"/>
        <v>0</v>
      </c>
      <c r="K21" s="117">
        <f>H21*E21</f>
        <v>8000000</v>
      </c>
      <c r="L21" s="116">
        <v>8000000</v>
      </c>
      <c r="M21" s="114"/>
      <c r="P21" s="96">
        <f>I21*15%</f>
        <v>0</v>
      </c>
      <c r="Q21" s="165"/>
      <c r="R21" s="167">
        <v>8000000</v>
      </c>
      <c r="S21" s="608">
        <f t="shared" si="16"/>
        <v>5.6891279573717257E-3</v>
      </c>
      <c r="T21" s="446">
        <f>S21/28</f>
        <v>2.031831413347045E-4</v>
      </c>
      <c r="U21" s="446">
        <f>T21</f>
        <v>2.031831413347045E-4</v>
      </c>
      <c r="V21" s="446">
        <f t="shared" ref="V21:AU22" si="24">U21</f>
        <v>2.031831413347045E-4</v>
      </c>
      <c r="W21" s="446">
        <f t="shared" si="24"/>
        <v>2.031831413347045E-4</v>
      </c>
      <c r="X21" s="446">
        <f t="shared" si="24"/>
        <v>2.031831413347045E-4</v>
      </c>
      <c r="Y21" s="446">
        <f t="shared" si="24"/>
        <v>2.031831413347045E-4</v>
      </c>
      <c r="Z21" s="446">
        <f t="shared" si="24"/>
        <v>2.031831413347045E-4</v>
      </c>
      <c r="AA21" s="446">
        <f t="shared" si="24"/>
        <v>2.031831413347045E-4</v>
      </c>
      <c r="AB21" s="446">
        <f t="shared" si="24"/>
        <v>2.031831413347045E-4</v>
      </c>
      <c r="AC21" s="446">
        <f t="shared" si="24"/>
        <v>2.031831413347045E-4</v>
      </c>
      <c r="AD21" s="446">
        <f t="shared" si="24"/>
        <v>2.031831413347045E-4</v>
      </c>
      <c r="AE21" s="446">
        <f t="shared" si="24"/>
        <v>2.031831413347045E-4</v>
      </c>
      <c r="AF21" s="446">
        <f t="shared" si="24"/>
        <v>2.031831413347045E-4</v>
      </c>
      <c r="AG21" s="446">
        <f t="shared" si="24"/>
        <v>2.031831413347045E-4</v>
      </c>
      <c r="AH21" s="446">
        <f t="shared" si="24"/>
        <v>2.031831413347045E-4</v>
      </c>
      <c r="AI21" s="446">
        <f t="shared" si="24"/>
        <v>2.031831413347045E-4</v>
      </c>
      <c r="AJ21" s="446">
        <f t="shared" si="24"/>
        <v>2.031831413347045E-4</v>
      </c>
      <c r="AK21" s="446">
        <f t="shared" si="24"/>
        <v>2.031831413347045E-4</v>
      </c>
      <c r="AL21" s="446">
        <f t="shared" si="24"/>
        <v>2.031831413347045E-4</v>
      </c>
      <c r="AM21" s="446">
        <f t="shared" si="24"/>
        <v>2.031831413347045E-4</v>
      </c>
      <c r="AN21" s="446">
        <f t="shared" si="24"/>
        <v>2.031831413347045E-4</v>
      </c>
      <c r="AO21" s="446">
        <f t="shared" si="24"/>
        <v>2.031831413347045E-4</v>
      </c>
      <c r="AP21" s="446">
        <f t="shared" si="24"/>
        <v>2.031831413347045E-4</v>
      </c>
      <c r="AQ21" s="446">
        <f t="shared" si="24"/>
        <v>2.031831413347045E-4</v>
      </c>
      <c r="AR21" s="446">
        <f t="shared" si="24"/>
        <v>2.031831413347045E-4</v>
      </c>
      <c r="AS21" s="446">
        <f t="shared" si="24"/>
        <v>2.031831413347045E-4</v>
      </c>
      <c r="AT21" s="446">
        <f t="shared" si="24"/>
        <v>2.031831413347045E-4</v>
      </c>
      <c r="AU21" s="446">
        <f t="shared" si="24"/>
        <v>2.031831413347045E-4</v>
      </c>
      <c r="AV21" s="406"/>
      <c r="AW21" s="385">
        <f t="shared" si="19"/>
        <v>5.689127957371724E-3</v>
      </c>
      <c r="AX21" s="167">
        <f t="shared" si="20"/>
        <v>0</v>
      </c>
    </row>
    <row r="22" spans="1:50" ht="16" thickBot="1">
      <c r="A22" s="189">
        <v>9</v>
      </c>
      <c r="B22" s="93" t="s">
        <v>47</v>
      </c>
      <c r="C22" s="208"/>
      <c r="D22" s="209"/>
      <c r="E22" s="157">
        <v>30</v>
      </c>
      <c r="F22" s="158" t="s">
        <v>14</v>
      </c>
      <c r="G22" s="128">
        <v>250000</v>
      </c>
      <c r="H22" s="117">
        <v>50000</v>
      </c>
      <c r="I22" s="117">
        <f t="shared" si="21"/>
        <v>300000</v>
      </c>
      <c r="J22" s="117">
        <f t="shared" si="22"/>
        <v>7500000</v>
      </c>
      <c r="K22" s="117">
        <f t="shared" si="23"/>
        <v>1500000</v>
      </c>
      <c r="L22" s="117">
        <v>9000000</v>
      </c>
      <c r="M22" s="114"/>
      <c r="N22" s="114"/>
      <c r="O22" s="114"/>
      <c r="P22" s="96"/>
      <c r="Q22" s="194">
        <f>I22+M22+N22+O22+P22</f>
        <v>300000</v>
      </c>
      <c r="R22" s="195">
        <f>Q22*E22</f>
        <v>9000000</v>
      </c>
      <c r="S22" s="608">
        <f t="shared" si="16"/>
        <v>6.4002689520431914E-3</v>
      </c>
      <c r="T22" s="446">
        <f>S22/28</f>
        <v>2.2858103400154255E-4</v>
      </c>
      <c r="U22" s="446">
        <f>T22</f>
        <v>2.2858103400154255E-4</v>
      </c>
      <c r="V22" s="446">
        <f t="shared" si="24"/>
        <v>2.2858103400154255E-4</v>
      </c>
      <c r="W22" s="446">
        <f t="shared" si="24"/>
        <v>2.2858103400154255E-4</v>
      </c>
      <c r="X22" s="446">
        <f t="shared" si="24"/>
        <v>2.2858103400154255E-4</v>
      </c>
      <c r="Y22" s="446">
        <f t="shared" si="24"/>
        <v>2.2858103400154255E-4</v>
      </c>
      <c r="Z22" s="446">
        <f t="shared" si="24"/>
        <v>2.2858103400154255E-4</v>
      </c>
      <c r="AA22" s="446">
        <f t="shared" si="24"/>
        <v>2.2858103400154255E-4</v>
      </c>
      <c r="AB22" s="446">
        <f t="shared" si="24"/>
        <v>2.2858103400154255E-4</v>
      </c>
      <c r="AC22" s="446">
        <f t="shared" si="24"/>
        <v>2.2858103400154255E-4</v>
      </c>
      <c r="AD22" s="446">
        <f t="shared" si="24"/>
        <v>2.2858103400154255E-4</v>
      </c>
      <c r="AE22" s="446">
        <f t="shared" si="24"/>
        <v>2.2858103400154255E-4</v>
      </c>
      <c r="AF22" s="446">
        <f t="shared" si="24"/>
        <v>2.2858103400154255E-4</v>
      </c>
      <c r="AG22" s="446">
        <f t="shared" si="24"/>
        <v>2.2858103400154255E-4</v>
      </c>
      <c r="AH22" s="446">
        <f t="shared" si="24"/>
        <v>2.2858103400154255E-4</v>
      </c>
      <c r="AI22" s="446">
        <f t="shared" si="24"/>
        <v>2.2858103400154255E-4</v>
      </c>
      <c r="AJ22" s="446">
        <f t="shared" si="24"/>
        <v>2.2858103400154255E-4</v>
      </c>
      <c r="AK22" s="446">
        <f t="shared" si="24"/>
        <v>2.2858103400154255E-4</v>
      </c>
      <c r="AL22" s="446">
        <f t="shared" si="24"/>
        <v>2.2858103400154255E-4</v>
      </c>
      <c r="AM22" s="446">
        <f t="shared" si="24"/>
        <v>2.2858103400154255E-4</v>
      </c>
      <c r="AN22" s="446">
        <f t="shared" si="24"/>
        <v>2.2858103400154255E-4</v>
      </c>
      <c r="AO22" s="446">
        <f t="shared" si="24"/>
        <v>2.2858103400154255E-4</v>
      </c>
      <c r="AP22" s="446">
        <f t="shared" si="24"/>
        <v>2.2858103400154255E-4</v>
      </c>
      <c r="AQ22" s="446">
        <f t="shared" si="24"/>
        <v>2.2858103400154255E-4</v>
      </c>
      <c r="AR22" s="446">
        <f t="shared" si="24"/>
        <v>2.2858103400154255E-4</v>
      </c>
      <c r="AS22" s="446">
        <f t="shared" si="24"/>
        <v>2.2858103400154255E-4</v>
      </c>
      <c r="AT22" s="446">
        <f t="shared" si="24"/>
        <v>2.2858103400154255E-4</v>
      </c>
      <c r="AU22" s="446">
        <f t="shared" si="24"/>
        <v>2.2858103400154255E-4</v>
      </c>
      <c r="AV22" s="406"/>
      <c r="AW22" s="385">
        <f t="shared" si="19"/>
        <v>6.4002689520431906E-3</v>
      </c>
      <c r="AX22" s="167">
        <f t="shared" si="20"/>
        <v>0</v>
      </c>
    </row>
    <row r="23" spans="1:50">
      <c r="A23" s="212"/>
      <c r="B23" s="213"/>
      <c r="C23" s="214"/>
      <c r="D23" s="215"/>
      <c r="E23" s="216"/>
      <c r="F23" s="212"/>
      <c r="G23" s="210"/>
      <c r="H23" s="210"/>
      <c r="I23" s="211"/>
      <c r="J23" s="211"/>
      <c r="K23" s="211"/>
      <c r="L23" s="211">
        <f>SUM(L14:L22)</f>
        <v>52576837.350000001</v>
      </c>
      <c r="M23" s="205"/>
      <c r="N23" s="205"/>
      <c r="O23" s="205"/>
      <c r="P23" s="205"/>
      <c r="Q23" s="206" t="s">
        <v>178</v>
      </c>
      <c r="R23" s="207">
        <f>SUM(R14:R22)</f>
        <v>52576837.350000001</v>
      </c>
      <c r="T23" s="444"/>
      <c r="U23" s="444"/>
      <c r="V23" s="444"/>
      <c r="W23" s="444"/>
      <c r="X23" s="444"/>
      <c r="Y23" s="444"/>
      <c r="Z23" s="444"/>
      <c r="AA23" s="444"/>
      <c r="AB23" s="444"/>
      <c r="AC23" s="444"/>
      <c r="AD23" s="444"/>
      <c r="AE23" s="444"/>
      <c r="AF23" s="444"/>
      <c r="AG23" s="444"/>
      <c r="AH23" s="444"/>
      <c r="AI23" s="444"/>
      <c r="AJ23" s="444"/>
      <c r="AK23" s="444"/>
      <c r="AL23" s="444"/>
      <c r="AM23" s="444"/>
      <c r="AN23" s="444"/>
      <c r="AO23" s="444"/>
      <c r="AP23" s="444"/>
      <c r="AQ23" s="444"/>
      <c r="AR23" s="444"/>
      <c r="AS23" s="444"/>
      <c r="AT23" s="444"/>
      <c r="AU23" s="444"/>
      <c r="AV23" s="405"/>
      <c r="AW23" s="385">
        <f t="shared" si="19"/>
        <v>0</v>
      </c>
      <c r="AX23" s="167">
        <f t="shared" si="20"/>
        <v>0</v>
      </c>
    </row>
    <row r="24" spans="1:50">
      <c r="A24" s="62"/>
      <c r="B24" s="63"/>
      <c r="C24" s="61"/>
      <c r="D24" s="64"/>
      <c r="E24" s="137"/>
      <c r="F24" s="138"/>
      <c r="G24" s="116"/>
      <c r="H24" s="116"/>
      <c r="I24" s="116"/>
      <c r="J24" s="116"/>
      <c r="K24" s="116"/>
      <c r="L24" s="116"/>
      <c r="Q24" s="165"/>
      <c r="R24" s="165"/>
      <c r="T24" s="444"/>
      <c r="U24" s="444"/>
      <c r="V24" s="444"/>
      <c r="W24" s="444"/>
      <c r="X24" s="444"/>
      <c r="Y24" s="444"/>
      <c r="Z24" s="444"/>
      <c r="AA24" s="444"/>
      <c r="AB24" s="444"/>
      <c r="AC24" s="444"/>
      <c r="AD24" s="444"/>
      <c r="AE24" s="444"/>
      <c r="AF24" s="444"/>
      <c r="AG24" s="444"/>
      <c r="AH24" s="444"/>
      <c r="AI24" s="444"/>
      <c r="AJ24" s="444"/>
      <c r="AK24" s="444"/>
      <c r="AL24" s="444"/>
      <c r="AM24" s="444"/>
      <c r="AN24" s="444"/>
      <c r="AO24" s="444"/>
      <c r="AP24" s="444"/>
      <c r="AQ24" s="444"/>
      <c r="AR24" s="444"/>
      <c r="AS24" s="444"/>
      <c r="AT24" s="444"/>
      <c r="AU24" s="444"/>
      <c r="AV24" s="405"/>
      <c r="AW24" s="385">
        <f t="shared" si="19"/>
        <v>0</v>
      </c>
      <c r="AX24" s="167">
        <f t="shared" si="20"/>
        <v>0</v>
      </c>
    </row>
    <row r="25" spans="1:50">
      <c r="A25" s="85" t="s">
        <v>4</v>
      </c>
      <c r="B25" s="95" t="s">
        <v>5</v>
      </c>
      <c r="C25" s="162"/>
      <c r="D25" s="163"/>
      <c r="E25" s="149"/>
      <c r="F25" s="150"/>
      <c r="G25" s="131"/>
      <c r="H25" s="120"/>
      <c r="I25" s="120"/>
      <c r="J25" s="120"/>
      <c r="K25" s="120"/>
      <c r="L25" s="120"/>
      <c r="Q25" s="165"/>
      <c r="R25" s="165"/>
      <c r="T25" s="444"/>
      <c r="U25" s="444"/>
      <c r="V25" s="444"/>
      <c r="W25" s="444"/>
      <c r="X25" s="444"/>
      <c r="Y25" s="444"/>
      <c r="Z25" s="444"/>
      <c r="AA25" s="444"/>
      <c r="AB25" s="444"/>
      <c r="AC25" s="444"/>
      <c r="AD25" s="444"/>
      <c r="AE25" s="444"/>
      <c r="AF25" s="444"/>
      <c r="AG25" s="444"/>
      <c r="AH25" s="444"/>
      <c r="AI25" s="444"/>
      <c r="AJ25" s="444"/>
      <c r="AK25" s="444"/>
      <c r="AL25" s="444"/>
      <c r="AM25" s="444"/>
      <c r="AN25" s="444"/>
      <c r="AO25" s="444"/>
      <c r="AP25" s="444"/>
      <c r="AQ25" s="444"/>
      <c r="AR25" s="444"/>
      <c r="AS25" s="444"/>
      <c r="AT25" s="444"/>
      <c r="AU25" s="444"/>
      <c r="AV25" s="405"/>
      <c r="AW25" s="385">
        <f t="shared" si="19"/>
        <v>0</v>
      </c>
      <c r="AX25" s="167">
        <f t="shared" si="20"/>
        <v>0</v>
      </c>
    </row>
    <row r="26" spans="1:50">
      <c r="A26" s="87">
        <v>1</v>
      </c>
      <c r="B26" s="86" t="s">
        <v>165</v>
      </c>
      <c r="C26" s="61"/>
      <c r="D26" s="64"/>
      <c r="E26" s="151">
        <v>1</v>
      </c>
      <c r="F26" s="140" t="s">
        <v>56</v>
      </c>
      <c r="G26" s="127"/>
      <c r="H26" s="116">
        <v>60000000</v>
      </c>
      <c r="I26" s="116">
        <f>H26+G26</f>
        <v>60000000</v>
      </c>
      <c r="J26" s="116">
        <f>E26*G26</f>
        <v>0</v>
      </c>
      <c r="K26" s="116">
        <f>E26*H26</f>
        <v>60000000</v>
      </c>
      <c r="L26" s="116">
        <f>K26+J26</f>
        <v>60000000</v>
      </c>
      <c r="M26" s="114">
        <v>10000000</v>
      </c>
      <c r="N26" s="124"/>
      <c r="O26" s="124"/>
      <c r="P26" s="124"/>
      <c r="Q26" s="166">
        <f>M26+I26</f>
        <v>70000000</v>
      </c>
      <c r="R26" s="167">
        <f>Q26*E26</f>
        <v>70000000</v>
      </c>
      <c r="S26" s="605">
        <f>R26/$R$6</f>
        <v>4.97798696270026E-2</v>
      </c>
      <c r="T26" s="446">
        <f>S26/3</f>
        <v>1.6593289875667532E-2</v>
      </c>
      <c r="U26" s="446">
        <f>T26</f>
        <v>1.6593289875667532E-2</v>
      </c>
      <c r="V26" s="446">
        <f>U26</f>
        <v>1.6593289875667532E-2</v>
      </c>
      <c r="W26" s="444"/>
      <c r="X26" s="444"/>
      <c r="Y26" s="444"/>
      <c r="Z26" s="444"/>
      <c r="AA26" s="444"/>
      <c r="AB26" s="444"/>
      <c r="AC26" s="444"/>
      <c r="AD26" s="444"/>
      <c r="AE26" s="444"/>
      <c r="AF26" s="444"/>
      <c r="AG26" s="444"/>
      <c r="AH26" s="444"/>
      <c r="AI26" s="444"/>
      <c r="AJ26" s="444"/>
      <c r="AK26" s="444"/>
      <c r="AL26" s="444"/>
      <c r="AM26" s="444"/>
      <c r="AN26" s="444"/>
      <c r="AO26" s="444"/>
      <c r="AP26" s="444"/>
      <c r="AQ26" s="444"/>
      <c r="AR26" s="444"/>
      <c r="AS26" s="444"/>
      <c r="AT26" s="444"/>
      <c r="AU26" s="444"/>
      <c r="AV26" s="405"/>
      <c r="AW26" s="385">
        <f t="shared" si="19"/>
        <v>4.9779869627002593E-2</v>
      </c>
      <c r="AX26" s="167">
        <f t="shared" si="20"/>
        <v>0</v>
      </c>
    </row>
    <row r="27" spans="1:50">
      <c r="A27" s="94">
        <f>A26+1</f>
        <v>2</v>
      </c>
      <c r="B27" s="86" t="s">
        <v>150</v>
      </c>
      <c r="C27" s="101"/>
      <c r="D27" s="102"/>
      <c r="E27" s="151">
        <f>3.14*0.15*0.15*6*18</f>
        <v>7.6301999999999985</v>
      </c>
      <c r="F27" s="140" t="s">
        <v>15</v>
      </c>
      <c r="G27" s="131">
        <f>650000+(650000*10%)</f>
        <v>715000</v>
      </c>
      <c r="H27" s="120">
        <v>300000</v>
      </c>
      <c r="I27" s="120">
        <f>H27+G27</f>
        <v>1015000</v>
      </c>
      <c r="J27" s="120">
        <f>E27*G27</f>
        <v>5455592.9999999991</v>
      </c>
      <c r="K27" s="120">
        <f>E27*H27</f>
        <v>2289059.9999999995</v>
      </c>
      <c r="L27" s="120">
        <f>K27+J27</f>
        <v>7744652.9999999981</v>
      </c>
      <c r="M27" s="114"/>
      <c r="N27" s="114"/>
      <c r="O27" s="114"/>
      <c r="P27" s="114">
        <v>152250</v>
      </c>
      <c r="Q27" s="166">
        <f>I27+M27+N27+O27+P27</f>
        <v>1167250</v>
      </c>
      <c r="R27" s="167">
        <f>Q27*E27</f>
        <v>8906350.9499999974</v>
      </c>
      <c r="S27" s="605">
        <f>R27/$R$6</f>
        <v>6.3336712734761522E-3</v>
      </c>
      <c r="T27" s="444"/>
      <c r="U27" s="444"/>
      <c r="V27" s="446">
        <f>S27/3</f>
        <v>2.1112237578253842E-3</v>
      </c>
      <c r="W27" s="446">
        <f>V27</f>
        <v>2.1112237578253842E-3</v>
      </c>
      <c r="X27" s="446">
        <f>W27</f>
        <v>2.1112237578253842E-3</v>
      </c>
      <c r="Y27" s="444"/>
      <c r="Z27" s="444"/>
      <c r="AA27" s="444"/>
      <c r="AB27" s="444"/>
      <c r="AC27" s="444"/>
      <c r="AD27" s="444"/>
      <c r="AE27" s="444"/>
      <c r="AF27" s="444"/>
      <c r="AG27" s="444"/>
      <c r="AH27" s="444"/>
      <c r="AI27" s="444"/>
      <c r="AJ27" s="444"/>
      <c r="AK27" s="444"/>
      <c r="AL27" s="444"/>
      <c r="AM27" s="444"/>
      <c r="AN27" s="444"/>
      <c r="AO27" s="444"/>
      <c r="AP27" s="444"/>
      <c r="AQ27" s="444"/>
      <c r="AR27" s="444"/>
      <c r="AS27" s="444"/>
      <c r="AT27" s="444"/>
      <c r="AU27" s="444"/>
      <c r="AV27" s="405"/>
      <c r="AW27" s="385">
        <f t="shared" si="19"/>
        <v>6.3336712734761522E-3</v>
      </c>
      <c r="AX27" s="167">
        <f t="shared" si="20"/>
        <v>0</v>
      </c>
    </row>
    <row r="28" spans="1:50">
      <c r="A28" s="94">
        <f>A27+1</f>
        <v>3</v>
      </c>
      <c r="B28" s="86" t="s">
        <v>151</v>
      </c>
      <c r="C28" s="101"/>
      <c r="D28" s="102"/>
      <c r="E28" s="151">
        <f>3.14*0.1*0.1*4*42</f>
        <v>5.2752000000000008</v>
      </c>
      <c r="F28" s="140" t="s">
        <v>15</v>
      </c>
      <c r="G28" s="131">
        <f>G27</f>
        <v>715000</v>
      </c>
      <c r="H28" s="120">
        <v>300000</v>
      </c>
      <c r="I28" s="120">
        <f>H28+G28</f>
        <v>1015000</v>
      </c>
      <c r="J28" s="120">
        <f>E28*G28</f>
        <v>3771768.0000000005</v>
      </c>
      <c r="K28" s="120">
        <f>E28*H28</f>
        <v>1582560.0000000002</v>
      </c>
      <c r="L28" s="120">
        <f>K28+J28</f>
        <v>5354328.0000000009</v>
      </c>
      <c r="M28" s="114"/>
      <c r="N28" s="114"/>
      <c r="O28" s="114"/>
      <c r="P28" s="114">
        <v>152250</v>
      </c>
      <c r="Q28" s="166">
        <f>I28+M28+N28+O28+P28</f>
        <v>1167250</v>
      </c>
      <c r="R28" s="167">
        <f>Q28*E28</f>
        <v>6157477.2000000011</v>
      </c>
      <c r="S28" s="605">
        <f>R28/$R$6</f>
        <v>4.3788344606748722E-3</v>
      </c>
      <c r="T28" s="444"/>
      <c r="U28" s="444"/>
      <c r="V28" s="446">
        <f t="shared" ref="V28:V30" si="25">S28/3</f>
        <v>1.459611486891624E-3</v>
      </c>
      <c r="W28" s="446">
        <f t="shared" ref="W28:X30" si="26">V28</f>
        <v>1.459611486891624E-3</v>
      </c>
      <c r="X28" s="446">
        <f t="shared" si="26"/>
        <v>1.459611486891624E-3</v>
      </c>
      <c r="Y28" s="444"/>
      <c r="Z28" s="444"/>
      <c r="AA28" s="444"/>
      <c r="AB28" s="444"/>
      <c r="AC28" s="444"/>
      <c r="AD28" s="444"/>
      <c r="AE28" s="444"/>
      <c r="AF28" s="444"/>
      <c r="AG28" s="444"/>
      <c r="AH28" s="444"/>
      <c r="AI28" s="444"/>
      <c r="AJ28" s="444"/>
      <c r="AK28" s="444"/>
      <c r="AL28" s="444"/>
      <c r="AM28" s="444"/>
      <c r="AN28" s="444"/>
      <c r="AO28" s="444"/>
      <c r="AP28" s="444"/>
      <c r="AQ28" s="444"/>
      <c r="AR28" s="444"/>
      <c r="AS28" s="444"/>
      <c r="AT28" s="444"/>
      <c r="AU28" s="444"/>
      <c r="AV28" s="405"/>
      <c r="AW28" s="385">
        <f t="shared" si="19"/>
        <v>4.3788344606748722E-3</v>
      </c>
      <c r="AX28" s="167">
        <f t="shared" si="20"/>
        <v>0</v>
      </c>
    </row>
    <row r="29" spans="1:50">
      <c r="A29" s="94">
        <f>A28+1</f>
        <v>4</v>
      </c>
      <c r="B29" s="86" t="s">
        <v>102</v>
      </c>
      <c r="C29" s="101"/>
      <c r="D29" s="102"/>
      <c r="E29" s="151">
        <v>877.61</v>
      </c>
      <c r="F29" s="140" t="s">
        <v>72</v>
      </c>
      <c r="G29" s="131">
        <f>8400+(8400*10%)</f>
        <v>9240</v>
      </c>
      <c r="H29" s="120">
        <v>2000</v>
      </c>
      <c r="I29" s="120">
        <f>H29+G29</f>
        <v>11240</v>
      </c>
      <c r="J29" s="120">
        <f>E29*G29</f>
        <v>8109116.4000000004</v>
      </c>
      <c r="K29" s="120">
        <f>E29*H29</f>
        <v>1755220</v>
      </c>
      <c r="L29" s="120">
        <f>K29+J29</f>
        <v>9864336.4000000004</v>
      </c>
      <c r="M29" s="114"/>
      <c r="N29" s="114"/>
      <c r="O29" s="114"/>
      <c r="P29" s="114">
        <v>1686</v>
      </c>
      <c r="Q29" s="166">
        <f>I29+M29+N29+O29+P29</f>
        <v>12926</v>
      </c>
      <c r="R29" s="167">
        <f>Q29*E29</f>
        <v>11343986.859999999</v>
      </c>
      <c r="S29" s="605">
        <f>R29/$R$6</f>
        <v>8.0671740991604367E-3</v>
      </c>
      <c r="T29" s="444"/>
      <c r="U29" s="444"/>
      <c r="V29" s="446">
        <f t="shared" si="25"/>
        <v>2.689058033053479E-3</v>
      </c>
      <c r="W29" s="446">
        <f t="shared" si="26"/>
        <v>2.689058033053479E-3</v>
      </c>
      <c r="X29" s="446">
        <f t="shared" si="26"/>
        <v>2.689058033053479E-3</v>
      </c>
      <c r="Y29" s="444"/>
      <c r="Z29" s="444"/>
      <c r="AA29" s="444"/>
      <c r="AB29" s="444"/>
      <c r="AC29" s="444"/>
      <c r="AD29" s="444"/>
      <c r="AE29" s="444"/>
      <c r="AF29" s="444"/>
      <c r="AG29" s="444"/>
      <c r="AH29" s="444"/>
      <c r="AI29" s="444"/>
      <c r="AJ29" s="444"/>
      <c r="AK29" s="444"/>
      <c r="AL29" s="444"/>
      <c r="AM29" s="444"/>
      <c r="AN29" s="444"/>
      <c r="AO29" s="444"/>
      <c r="AP29" s="444"/>
      <c r="AQ29" s="444"/>
      <c r="AR29" s="444"/>
      <c r="AS29" s="444"/>
      <c r="AT29" s="444"/>
      <c r="AU29" s="444"/>
      <c r="AV29" s="405"/>
      <c r="AW29" s="385">
        <f t="shared" si="19"/>
        <v>8.0671740991604367E-3</v>
      </c>
      <c r="AX29" s="167">
        <f t="shared" si="20"/>
        <v>0</v>
      </c>
    </row>
    <row r="30" spans="1:50">
      <c r="A30" s="94">
        <f>A29+1</f>
        <v>5</v>
      </c>
      <c r="B30" s="86" t="s">
        <v>103</v>
      </c>
      <c r="C30" s="101"/>
      <c r="D30" s="102"/>
      <c r="E30" s="151">
        <v>1411.64</v>
      </c>
      <c r="F30" s="140" t="s">
        <v>72</v>
      </c>
      <c r="G30" s="131">
        <f>G29</f>
        <v>9240</v>
      </c>
      <c r="H30" s="120">
        <v>2000</v>
      </c>
      <c r="I30" s="120">
        <f>H30+G30</f>
        <v>11240</v>
      </c>
      <c r="J30" s="120">
        <f>E30*G30</f>
        <v>13043553.600000001</v>
      </c>
      <c r="K30" s="120">
        <f>E30*H30</f>
        <v>2823280</v>
      </c>
      <c r="L30" s="120">
        <f>K30+J30</f>
        <v>15866833.600000001</v>
      </c>
      <c r="M30" s="114"/>
      <c r="N30" s="114"/>
      <c r="O30" s="114"/>
      <c r="P30" s="114">
        <v>1686</v>
      </c>
      <c r="Q30" s="166">
        <f>I30+M30+N30+O30+P30</f>
        <v>12926</v>
      </c>
      <c r="R30" s="167">
        <f>Q30*E30</f>
        <v>18246858.640000001</v>
      </c>
      <c r="S30" s="605">
        <f>R30/$R$6</f>
        <v>1.2976089202879229E-2</v>
      </c>
      <c r="T30" s="444"/>
      <c r="U30" s="444"/>
      <c r="V30" s="446">
        <f t="shared" si="25"/>
        <v>4.3253630676264093E-3</v>
      </c>
      <c r="W30" s="446">
        <f t="shared" si="26"/>
        <v>4.3253630676264093E-3</v>
      </c>
      <c r="X30" s="446">
        <f t="shared" si="26"/>
        <v>4.3253630676264093E-3</v>
      </c>
      <c r="Y30" s="444"/>
      <c r="Z30" s="444"/>
      <c r="AA30" s="444"/>
      <c r="AB30" s="444"/>
      <c r="AC30" s="444"/>
      <c r="AD30" s="444"/>
      <c r="AE30" s="444"/>
      <c r="AF30" s="444"/>
      <c r="AG30" s="444"/>
      <c r="AH30" s="444"/>
      <c r="AI30" s="444"/>
      <c r="AJ30" s="444"/>
      <c r="AK30" s="444"/>
      <c r="AL30" s="444"/>
      <c r="AM30" s="444"/>
      <c r="AN30" s="444"/>
      <c r="AO30" s="444"/>
      <c r="AP30" s="444"/>
      <c r="AQ30" s="444"/>
      <c r="AR30" s="444"/>
      <c r="AS30" s="444"/>
      <c r="AT30" s="444"/>
      <c r="AU30" s="444"/>
      <c r="AV30" s="405"/>
      <c r="AW30" s="385">
        <f t="shared" si="19"/>
        <v>1.2976089202879227E-2</v>
      </c>
      <c r="AX30" s="167">
        <f t="shared" si="20"/>
        <v>0</v>
      </c>
    </row>
    <row r="31" spans="1:50">
      <c r="A31" s="94">
        <f t="shared" ref="A31:A53" si="27">A30+1</f>
        <v>6</v>
      </c>
      <c r="B31" s="103" t="s">
        <v>65</v>
      </c>
      <c r="C31" s="101"/>
      <c r="D31" s="102"/>
      <c r="E31" s="139">
        <f>0.6*0.6*0.3*50</f>
        <v>5.4</v>
      </c>
      <c r="F31" s="140" t="s">
        <v>15</v>
      </c>
      <c r="G31" s="131">
        <v>0</v>
      </c>
      <c r="H31" s="120">
        <v>65000</v>
      </c>
      <c r="I31" s="120">
        <f t="shared" ref="I31:I49" si="28">H31+G31</f>
        <v>65000</v>
      </c>
      <c r="J31" s="120">
        <f t="shared" ref="J31:J48" si="29">E31*G31</f>
        <v>0</v>
      </c>
      <c r="K31" s="120">
        <f t="shared" ref="K31:K49" si="30">E31*H31</f>
        <v>351000</v>
      </c>
      <c r="L31" s="120">
        <f>(K31+J31)*130%</f>
        <v>456300</v>
      </c>
      <c r="M31" s="114">
        <v>6500</v>
      </c>
      <c r="N31" s="114">
        <v>10000</v>
      </c>
      <c r="O31" s="114">
        <v>5000</v>
      </c>
      <c r="P31" s="114">
        <v>9750</v>
      </c>
      <c r="Q31" s="166">
        <f>I31+N31+O31+P31</f>
        <v>89750</v>
      </c>
      <c r="R31" s="167">
        <f t="shared" ref="R31:R49" si="31">Q31*E31</f>
        <v>484650.00000000006</v>
      </c>
      <c r="S31" s="605">
        <f t="shared" ref="S31:S63" si="32">R31/$R$6</f>
        <v>3.4465448306752588E-4</v>
      </c>
      <c r="T31" s="444"/>
      <c r="U31" s="444"/>
      <c r="V31" s="444"/>
      <c r="W31" s="445">
        <f>S31/2</f>
        <v>1.7232724153376294E-4</v>
      </c>
      <c r="X31" s="446">
        <f t="shared" ref="X31" si="33">W31</f>
        <v>1.7232724153376294E-4</v>
      </c>
      <c r="Y31" s="444"/>
      <c r="Z31" s="444"/>
      <c r="AA31" s="444"/>
      <c r="AB31" s="444"/>
      <c r="AC31" s="444"/>
      <c r="AD31" s="444"/>
      <c r="AE31" s="444"/>
      <c r="AF31" s="444"/>
      <c r="AG31" s="444"/>
      <c r="AH31" s="444"/>
      <c r="AI31" s="444"/>
      <c r="AJ31" s="444"/>
      <c r="AK31" s="444"/>
      <c r="AL31" s="444"/>
      <c r="AM31" s="444"/>
      <c r="AN31" s="444"/>
      <c r="AO31" s="444"/>
      <c r="AP31" s="444"/>
      <c r="AQ31" s="444"/>
      <c r="AR31" s="444"/>
      <c r="AS31" s="444"/>
      <c r="AT31" s="444"/>
      <c r="AU31" s="444"/>
      <c r="AV31" s="405"/>
      <c r="AW31" s="385">
        <f t="shared" si="19"/>
        <v>3.4465448306752588E-4</v>
      </c>
      <c r="AX31" s="167">
        <f t="shared" si="20"/>
        <v>0</v>
      </c>
    </row>
    <row r="32" spans="1:50">
      <c r="A32" s="94">
        <f t="shared" si="27"/>
        <v>7</v>
      </c>
      <c r="B32" s="103" t="s">
        <v>66</v>
      </c>
      <c r="C32" s="101"/>
      <c r="D32" s="102"/>
      <c r="E32" s="139">
        <f>0.8*0.8*0.3*30</f>
        <v>5.7600000000000007</v>
      </c>
      <c r="F32" s="140" t="s">
        <v>15</v>
      </c>
      <c r="G32" s="131">
        <v>0</v>
      </c>
      <c r="H32" s="120">
        <v>65000</v>
      </c>
      <c r="I32" s="120">
        <f t="shared" si="28"/>
        <v>65000</v>
      </c>
      <c r="J32" s="120">
        <f t="shared" si="29"/>
        <v>0</v>
      </c>
      <c r="K32" s="120">
        <f t="shared" si="30"/>
        <v>374400.00000000006</v>
      </c>
      <c r="L32" s="120">
        <f>(K32+J32)*130%</f>
        <v>486720.00000000012</v>
      </c>
      <c r="M32" s="114">
        <v>6500</v>
      </c>
      <c r="N32" s="114">
        <v>10000</v>
      </c>
      <c r="O32" s="114">
        <v>5000</v>
      </c>
      <c r="P32" s="114">
        <v>9750</v>
      </c>
      <c r="Q32" s="166">
        <f t="shared" ref="Q32:Q49" si="34">I32+N32+O32+P32</f>
        <v>89750</v>
      </c>
      <c r="R32" s="167">
        <f t="shared" si="31"/>
        <v>516960.00000000006</v>
      </c>
      <c r="S32" s="605">
        <f t="shared" si="32"/>
        <v>3.6763144860536097E-4</v>
      </c>
      <c r="T32" s="444"/>
      <c r="U32" s="444"/>
      <c r="V32" s="444"/>
      <c r="W32" s="445">
        <f t="shared" ref="W32:W36" si="35">S32/2</f>
        <v>1.8381572430268048E-4</v>
      </c>
      <c r="X32" s="446">
        <f t="shared" ref="X32" si="36">W32</f>
        <v>1.8381572430268048E-4</v>
      </c>
      <c r="Y32" s="444"/>
      <c r="Z32" s="444"/>
      <c r="AA32" s="444"/>
      <c r="AB32" s="444"/>
      <c r="AC32" s="444"/>
      <c r="AD32" s="444"/>
      <c r="AE32" s="444"/>
      <c r="AF32" s="444"/>
      <c r="AG32" s="444"/>
      <c r="AH32" s="444"/>
      <c r="AI32" s="444"/>
      <c r="AJ32" s="444"/>
      <c r="AK32" s="444"/>
      <c r="AL32" s="444"/>
      <c r="AM32" s="444"/>
      <c r="AN32" s="444"/>
      <c r="AO32" s="444"/>
      <c r="AP32" s="444"/>
      <c r="AQ32" s="444"/>
      <c r="AR32" s="444"/>
      <c r="AS32" s="444"/>
      <c r="AT32" s="444"/>
      <c r="AU32" s="444"/>
      <c r="AV32" s="405"/>
      <c r="AW32" s="385">
        <f t="shared" si="19"/>
        <v>3.6763144860536097E-4</v>
      </c>
      <c r="AX32" s="167">
        <f t="shared" si="20"/>
        <v>0</v>
      </c>
    </row>
    <row r="33" spans="1:50">
      <c r="A33" s="94">
        <f t="shared" si="27"/>
        <v>8</v>
      </c>
      <c r="B33" s="86" t="s">
        <v>67</v>
      </c>
      <c r="C33" s="101"/>
      <c r="D33" s="102"/>
      <c r="E33" s="151">
        <f>(0.6*0.6*0.05)*50</f>
        <v>0.89999999999999991</v>
      </c>
      <c r="F33" s="140" t="s">
        <v>15</v>
      </c>
      <c r="G33" s="131">
        <v>15400</v>
      </c>
      <c r="H33" s="120">
        <v>47500</v>
      </c>
      <c r="I33" s="120">
        <f t="shared" si="28"/>
        <v>62900</v>
      </c>
      <c r="J33" s="120">
        <f t="shared" si="29"/>
        <v>13859.999999999998</v>
      </c>
      <c r="K33" s="120">
        <f t="shared" si="30"/>
        <v>42749.999999999993</v>
      </c>
      <c r="L33" s="120">
        <f t="shared" ref="L33:L49" si="37">K33+J33</f>
        <v>56609.999999999993</v>
      </c>
      <c r="M33" s="114">
        <v>6290</v>
      </c>
      <c r="N33" s="114">
        <v>10000</v>
      </c>
      <c r="O33" s="114">
        <v>5000</v>
      </c>
      <c r="P33" s="114">
        <v>9435</v>
      </c>
      <c r="Q33" s="166">
        <f t="shared" si="34"/>
        <v>87335</v>
      </c>
      <c r="R33" s="167">
        <f t="shared" si="31"/>
        <v>78601.499999999985</v>
      </c>
      <c r="S33" s="605">
        <f t="shared" si="32"/>
        <v>5.58967488926692E-5</v>
      </c>
      <c r="T33" s="444"/>
      <c r="U33" s="444"/>
      <c r="V33" s="444"/>
      <c r="W33" s="445">
        <f t="shared" si="35"/>
        <v>2.79483744463346E-5</v>
      </c>
      <c r="X33" s="446">
        <f t="shared" ref="X33" si="38">W33</f>
        <v>2.79483744463346E-5</v>
      </c>
      <c r="Y33" s="444"/>
      <c r="Z33" s="444"/>
      <c r="AA33" s="444"/>
      <c r="AB33" s="444"/>
      <c r="AC33" s="444"/>
      <c r="AD33" s="444"/>
      <c r="AE33" s="444"/>
      <c r="AF33" s="444"/>
      <c r="AG33" s="444"/>
      <c r="AH33" s="444"/>
      <c r="AI33" s="444"/>
      <c r="AJ33" s="444"/>
      <c r="AK33" s="444"/>
      <c r="AL33" s="444"/>
      <c r="AM33" s="444"/>
      <c r="AN33" s="444"/>
      <c r="AO33" s="444"/>
      <c r="AP33" s="444"/>
      <c r="AQ33" s="444"/>
      <c r="AR33" s="444"/>
      <c r="AS33" s="444"/>
      <c r="AT33" s="444"/>
      <c r="AU33" s="444"/>
      <c r="AV33" s="405"/>
      <c r="AW33" s="385">
        <f t="shared" si="19"/>
        <v>5.58967488926692E-5</v>
      </c>
      <c r="AX33" s="167">
        <f t="shared" si="20"/>
        <v>0</v>
      </c>
    </row>
    <row r="34" spans="1:50">
      <c r="A34" s="94">
        <f t="shared" si="27"/>
        <v>9</v>
      </c>
      <c r="B34" s="86" t="s">
        <v>68</v>
      </c>
      <c r="C34" s="101"/>
      <c r="D34" s="102"/>
      <c r="E34" s="139">
        <f>(0.8*0.8*0.05)*30</f>
        <v>0.96000000000000019</v>
      </c>
      <c r="F34" s="140" t="s">
        <v>15</v>
      </c>
      <c r="G34" s="131">
        <v>15400</v>
      </c>
      <c r="H34" s="120">
        <v>47500</v>
      </c>
      <c r="I34" s="120">
        <f t="shared" si="28"/>
        <v>62900</v>
      </c>
      <c r="J34" s="120">
        <f t="shared" si="29"/>
        <v>14784.000000000004</v>
      </c>
      <c r="K34" s="120">
        <f t="shared" si="30"/>
        <v>45600.000000000007</v>
      </c>
      <c r="L34" s="120">
        <f t="shared" si="37"/>
        <v>60384.000000000015</v>
      </c>
      <c r="M34" s="114">
        <v>6290</v>
      </c>
      <c r="N34" s="114">
        <v>10000</v>
      </c>
      <c r="O34" s="114">
        <v>5000</v>
      </c>
      <c r="P34" s="114">
        <v>9435</v>
      </c>
      <c r="Q34" s="166">
        <f t="shared" si="34"/>
        <v>87335</v>
      </c>
      <c r="R34" s="167">
        <f t="shared" si="31"/>
        <v>83841.60000000002</v>
      </c>
      <c r="S34" s="605">
        <f t="shared" si="32"/>
        <v>5.9623198818847177E-5</v>
      </c>
      <c r="T34" s="444"/>
      <c r="U34" s="444"/>
      <c r="V34" s="444"/>
      <c r="W34" s="445">
        <f t="shared" si="35"/>
        <v>2.9811599409423588E-5</v>
      </c>
      <c r="X34" s="446">
        <f t="shared" ref="X34" si="39">W34</f>
        <v>2.9811599409423588E-5</v>
      </c>
      <c r="Y34" s="444"/>
      <c r="Z34" s="444"/>
      <c r="AA34" s="444"/>
      <c r="AB34" s="444"/>
      <c r="AC34" s="444"/>
      <c r="AD34" s="444"/>
      <c r="AE34" s="444"/>
      <c r="AF34" s="444"/>
      <c r="AG34" s="444"/>
      <c r="AH34" s="444"/>
      <c r="AI34" s="444"/>
      <c r="AJ34" s="444"/>
      <c r="AK34" s="444"/>
      <c r="AL34" s="444"/>
      <c r="AM34" s="444"/>
      <c r="AN34" s="444"/>
      <c r="AO34" s="444"/>
      <c r="AP34" s="444"/>
      <c r="AQ34" s="444"/>
      <c r="AR34" s="444"/>
      <c r="AS34" s="444"/>
      <c r="AT34" s="444"/>
      <c r="AU34" s="444"/>
      <c r="AV34" s="405"/>
      <c r="AW34" s="385">
        <f t="shared" si="19"/>
        <v>5.9623198818847177E-5</v>
      </c>
      <c r="AX34" s="167">
        <f t="shared" si="20"/>
        <v>0</v>
      </c>
    </row>
    <row r="35" spans="1:50">
      <c r="A35" s="94">
        <f t="shared" si="27"/>
        <v>10</v>
      </c>
      <c r="B35" s="86" t="s">
        <v>69</v>
      </c>
      <c r="C35" s="101"/>
      <c r="D35" s="102"/>
      <c r="E35" s="151">
        <f>0.6*0.6*50</f>
        <v>18</v>
      </c>
      <c r="F35" s="140" t="s">
        <v>14</v>
      </c>
      <c r="G35" s="131">
        <v>13200</v>
      </c>
      <c r="H35" s="120">
        <v>36000</v>
      </c>
      <c r="I35" s="120">
        <f t="shared" si="28"/>
        <v>49200</v>
      </c>
      <c r="J35" s="120">
        <f t="shared" si="29"/>
        <v>237600</v>
      </c>
      <c r="K35" s="120">
        <f t="shared" si="30"/>
        <v>648000</v>
      </c>
      <c r="L35" s="120">
        <f t="shared" si="37"/>
        <v>885600</v>
      </c>
      <c r="M35" s="114">
        <v>4920</v>
      </c>
      <c r="N35" s="114">
        <v>10000</v>
      </c>
      <c r="O35" s="114">
        <v>5000</v>
      </c>
      <c r="P35" s="114">
        <v>7380</v>
      </c>
      <c r="Q35" s="166">
        <f t="shared" si="34"/>
        <v>71580</v>
      </c>
      <c r="R35" s="167">
        <f t="shared" si="31"/>
        <v>1288440</v>
      </c>
      <c r="S35" s="605">
        <f t="shared" si="32"/>
        <v>9.162625031745033E-4</v>
      </c>
      <c r="T35" s="444"/>
      <c r="U35" s="444"/>
      <c r="V35" s="444"/>
      <c r="W35" s="445">
        <f t="shared" si="35"/>
        <v>4.5813125158725165E-4</v>
      </c>
      <c r="X35" s="446">
        <f t="shared" ref="X35" si="40">W35</f>
        <v>4.5813125158725165E-4</v>
      </c>
      <c r="Y35" s="444"/>
      <c r="Z35" s="444"/>
      <c r="AA35" s="444"/>
      <c r="AB35" s="444"/>
      <c r="AC35" s="444"/>
      <c r="AD35" s="444"/>
      <c r="AE35" s="444"/>
      <c r="AF35" s="444"/>
      <c r="AG35" s="444"/>
      <c r="AH35" s="444"/>
      <c r="AI35" s="444"/>
      <c r="AJ35" s="444"/>
      <c r="AK35" s="444"/>
      <c r="AL35" s="444"/>
      <c r="AM35" s="444"/>
      <c r="AN35" s="444"/>
      <c r="AO35" s="444"/>
      <c r="AP35" s="444"/>
      <c r="AQ35" s="444"/>
      <c r="AR35" s="444"/>
      <c r="AS35" s="444"/>
      <c r="AT35" s="444"/>
      <c r="AU35" s="444"/>
      <c r="AV35" s="405"/>
      <c r="AW35" s="385">
        <f t="shared" si="19"/>
        <v>9.162625031745033E-4</v>
      </c>
      <c r="AX35" s="167">
        <f t="shared" si="20"/>
        <v>0</v>
      </c>
    </row>
    <row r="36" spans="1:50">
      <c r="A36" s="94">
        <f t="shared" si="27"/>
        <v>11</v>
      </c>
      <c r="B36" s="86" t="s">
        <v>70</v>
      </c>
      <c r="C36" s="101"/>
      <c r="D36" s="102"/>
      <c r="E36" s="139">
        <f>0.8*0.8*30</f>
        <v>19.200000000000003</v>
      </c>
      <c r="F36" s="140" t="s">
        <v>14</v>
      </c>
      <c r="G36" s="131">
        <v>13200</v>
      </c>
      <c r="H36" s="120">
        <v>36000</v>
      </c>
      <c r="I36" s="120">
        <f t="shared" si="28"/>
        <v>49200</v>
      </c>
      <c r="J36" s="120">
        <f t="shared" si="29"/>
        <v>253440.00000000003</v>
      </c>
      <c r="K36" s="120">
        <f t="shared" si="30"/>
        <v>691200.00000000012</v>
      </c>
      <c r="L36" s="120">
        <f t="shared" si="37"/>
        <v>944640.00000000012</v>
      </c>
      <c r="M36" s="114">
        <v>4920</v>
      </c>
      <c r="N36" s="114">
        <v>10000</v>
      </c>
      <c r="O36" s="114">
        <v>5000</v>
      </c>
      <c r="P36" s="114">
        <v>7380</v>
      </c>
      <c r="Q36" s="166">
        <f t="shared" si="34"/>
        <v>71580</v>
      </c>
      <c r="R36" s="167">
        <f t="shared" si="31"/>
        <v>1374336.0000000002</v>
      </c>
      <c r="S36" s="605">
        <f t="shared" si="32"/>
        <v>9.7734667005280364E-4</v>
      </c>
      <c r="T36" s="444"/>
      <c r="U36" s="444"/>
      <c r="V36" s="444"/>
      <c r="W36" s="445">
        <f t="shared" si="35"/>
        <v>4.8867333502640182E-4</v>
      </c>
      <c r="X36" s="446">
        <f t="shared" ref="X36" si="41">W36</f>
        <v>4.8867333502640182E-4</v>
      </c>
      <c r="Y36" s="444"/>
      <c r="Z36" s="444"/>
      <c r="AA36" s="444"/>
      <c r="AB36" s="444"/>
      <c r="AC36" s="444"/>
      <c r="AD36" s="444"/>
      <c r="AE36" s="444"/>
      <c r="AF36" s="444"/>
      <c r="AG36" s="444"/>
      <c r="AH36" s="444"/>
      <c r="AI36" s="444"/>
      <c r="AJ36" s="444"/>
      <c r="AK36" s="444"/>
      <c r="AL36" s="444"/>
      <c r="AM36" s="444"/>
      <c r="AN36" s="444"/>
      <c r="AO36" s="444"/>
      <c r="AP36" s="444"/>
      <c r="AQ36" s="444"/>
      <c r="AR36" s="444"/>
      <c r="AS36" s="444"/>
      <c r="AT36" s="444"/>
      <c r="AU36" s="444"/>
      <c r="AV36" s="405"/>
      <c r="AW36" s="385">
        <f t="shared" si="19"/>
        <v>9.7734667005280364E-4</v>
      </c>
      <c r="AX36" s="167">
        <f t="shared" si="20"/>
        <v>0</v>
      </c>
    </row>
    <row r="37" spans="1:50">
      <c r="A37" s="94">
        <f t="shared" si="27"/>
        <v>12</v>
      </c>
      <c r="B37" s="86" t="s">
        <v>104</v>
      </c>
      <c r="C37" s="101"/>
      <c r="D37" s="102"/>
      <c r="E37" s="151">
        <f>'[40]VOLUME PC'!G16</f>
        <v>5.3999999999999995</v>
      </c>
      <c r="F37" s="140" t="s">
        <v>15</v>
      </c>
      <c r="G37" s="131">
        <f>G28</f>
        <v>715000</v>
      </c>
      <c r="H37" s="120">
        <v>300000</v>
      </c>
      <c r="I37" s="120">
        <f t="shared" ref="I37:I42" si="42">H37+G37</f>
        <v>1015000</v>
      </c>
      <c r="J37" s="120">
        <f t="shared" ref="J37:J42" si="43">E37*G37</f>
        <v>3860999.9999999995</v>
      </c>
      <c r="K37" s="120">
        <f t="shared" ref="K37:K42" si="44">E37*H37</f>
        <v>1619999.9999999998</v>
      </c>
      <c r="L37" s="120">
        <f t="shared" ref="L37:L42" si="45">K37+J37</f>
        <v>5480999.9999999991</v>
      </c>
      <c r="M37" s="114"/>
      <c r="N37" s="114"/>
      <c r="O37" s="114"/>
      <c r="P37" s="114">
        <v>152250</v>
      </c>
      <c r="Q37" s="166">
        <f t="shared" ref="Q37:Q42" si="46">I37+M37+N37+O37+P37</f>
        <v>1167250</v>
      </c>
      <c r="R37" s="167">
        <f t="shared" ref="R37:R42" si="47">Q37*E37</f>
        <v>6303149.9999999991</v>
      </c>
      <c r="S37" s="605">
        <f t="shared" ref="S37:S42" si="48">R37/$R$6</f>
        <v>4.4824283605634481E-3</v>
      </c>
      <c r="T37" s="444"/>
      <c r="U37" s="444"/>
      <c r="V37" s="444"/>
      <c r="W37" s="444"/>
      <c r="X37" s="446">
        <f>S37/3</f>
        <v>1.4941427868544828E-3</v>
      </c>
      <c r="Y37" s="446">
        <f>X37</f>
        <v>1.4941427868544828E-3</v>
      </c>
      <c r="Z37" s="446">
        <f>Y37</f>
        <v>1.4941427868544828E-3</v>
      </c>
      <c r="AA37" s="444"/>
      <c r="AB37" s="444"/>
      <c r="AC37" s="444"/>
      <c r="AD37" s="444"/>
      <c r="AE37" s="444"/>
      <c r="AF37" s="444"/>
      <c r="AG37" s="444"/>
      <c r="AH37" s="444"/>
      <c r="AI37" s="444"/>
      <c r="AJ37" s="444"/>
      <c r="AK37" s="444"/>
      <c r="AL37" s="444"/>
      <c r="AM37" s="444"/>
      <c r="AN37" s="444"/>
      <c r="AO37" s="444"/>
      <c r="AP37" s="444"/>
      <c r="AQ37" s="444"/>
      <c r="AR37" s="444"/>
      <c r="AS37" s="444"/>
      <c r="AT37" s="444"/>
      <c r="AU37" s="444"/>
      <c r="AV37" s="405"/>
      <c r="AW37" s="385">
        <f t="shared" si="19"/>
        <v>4.4824283605634481E-3</v>
      </c>
      <c r="AX37" s="167">
        <f t="shared" si="20"/>
        <v>0</v>
      </c>
    </row>
    <row r="38" spans="1:50">
      <c r="A38" s="94">
        <f t="shared" si="27"/>
        <v>13</v>
      </c>
      <c r="B38" s="86" t="s">
        <v>105</v>
      </c>
      <c r="C38" s="101"/>
      <c r="D38" s="102"/>
      <c r="E38" s="151">
        <f>'[40]VOLUME PC'!G17</f>
        <v>7.4880000000000013</v>
      </c>
      <c r="F38" s="140" t="s">
        <v>15</v>
      </c>
      <c r="G38" s="131">
        <v>715000</v>
      </c>
      <c r="H38" s="120">
        <v>300000</v>
      </c>
      <c r="I38" s="120">
        <f t="shared" si="42"/>
        <v>1015000</v>
      </c>
      <c r="J38" s="120">
        <f t="shared" si="43"/>
        <v>5353920.0000000009</v>
      </c>
      <c r="K38" s="120">
        <f t="shared" si="44"/>
        <v>2246400.0000000005</v>
      </c>
      <c r="L38" s="120">
        <f t="shared" si="45"/>
        <v>7600320.0000000019</v>
      </c>
      <c r="M38" s="114"/>
      <c r="N38" s="114"/>
      <c r="O38" s="114"/>
      <c r="P38" s="114">
        <v>152250</v>
      </c>
      <c r="Q38" s="166">
        <f t="shared" si="46"/>
        <v>1167250</v>
      </c>
      <c r="R38" s="167">
        <f t="shared" si="47"/>
        <v>8740368.0000000019</v>
      </c>
      <c r="S38" s="605">
        <f t="shared" si="48"/>
        <v>6.2156339933146509E-3</v>
      </c>
      <c r="T38" s="444"/>
      <c r="U38" s="444"/>
      <c r="V38" s="444"/>
      <c r="W38" s="444"/>
      <c r="X38" s="446">
        <f t="shared" ref="X38:X42" si="49">S38/3</f>
        <v>2.0718779977715505E-3</v>
      </c>
      <c r="Y38" s="446">
        <f t="shared" ref="Y38:Z38" si="50">X38</f>
        <v>2.0718779977715505E-3</v>
      </c>
      <c r="Z38" s="446">
        <f t="shared" si="50"/>
        <v>2.0718779977715505E-3</v>
      </c>
      <c r="AA38" s="444"/>
      <c r="AB38" s="444"/>
      <c r="AC38" s="444"/>
      <c r="AD38" s="444"/>
      <c r="AE38" s="444"/>
      <c r="AF38" s="444"/>
      <c r="AG38" s="444"/>
      <c r="AH38" s="444"/>
      <c r="AI38" s="444"/>
      <c r="AJ38" s="444"/>
      <c r="AK38" s="444"/>
      <c r="AL38" s="444"/>
      <c r="AM38" s="444"/>
      <c r="AN38" s="444"/>
      <c r="AO38" s="444"/>
      <c r="AP38" s="444"/>
      <c r="AQ38" s="444"/>
      <c r="AR38" s="444"/>
      <c r="AS38" s="444"/>
      <c r="AT38" s="444"/>
      <c r="AU38" s="444"/>
      <c r="AV38" s="405"/>
      <c r="AW38" s="385">
        <f t="shared" si="19"/>
        <v>6.2156339933146509E-3</v>
      </c>
      <c r="AX38" s="167">
        <f t="shared" si="20"/>
        <v>0</v>
      </c>
    </row>
    <row r="39" spans="1:50">
      <c r="A39" s="94">
        <f t="shared" si="27"/>
        <v>14</v>
      </c>
      <c r="B39" s="86" t="s">
        <v>108</v>
      </c>
      <c r="C39" s="101"/>
      <c r="D39" s="102"/>
      <c r="E39" s="151">
        <v>588.6</v>
      </c>
      <c r="F39" s="140" t="s">
        <v>72</v>
      </c>
      <c r="G39" s="131">
        <f>G30</f>
        <v>9240</v>
      </c>
      <c r="H39" s="120">
        <v>2000</v>
      </c>
      <c r="I39" s="120">
        <f t="shared" si="42"/>
        <v>11240</v>
      </c>
      <c r="J39" s="120">
        <f t="shared" si="43"/>
        <v>5438664</v>
      </c>
      <c r="K39" s="120">
        <f t="shared" si="44"/>
        <v>1177200</v>
      </c>
      <c r="L39" s="120">
        <f t="shared" si="45"/>
        <v>6615864</v>
      </c>
      <c r="M39" s="114"/>
      <c r="N39" s="114"/>
      <c r="O39" s="114"/>
      <c r="P39" s="114">
        <v>1686</v>
      </c>
      <c r="Q39" s="166">
        <f t="shared" si="46"/>
        <v>12926</v>
      </c>
      <c r="R39" s="167">
        <f t="shared" si="47"/>
        <v>7608243.6000000006</v>
      </c>
      <c r="S39" s="605">
        <f t="shared" si="48"/>
        <v>5.4105339214068132E-3</v>
      </c>
      <c r="T39" s="444"/>
      <c r="U39" s="444"/>
      <c r="V39" s="444"/>
      <c r="W39" s="444"/>
      <c r="X39" s="446">
        <f t="shared" si="49"/>
        <v>1.8035113071356043E-3</v>
      </c>
      <c r="Y39" s="446">
        <f t="shared" ref="Y39:Z39" si="51">X39</f>
        <v>1.8035113071356043E-3</v>
      </c>
      <c r="Z39" s="446">
        <f t="shared" si="51"/>
        <v>1.8035113071356043E-3</v>
      </c>
      <c r="AA39" s="444"/>
      <c r="AB39" s="444"/>
      <c r="AC39" s="444"/>
      <c r="AD39" s="444"/>
      <c r="AE39" s="444"/>
      <c r="AF39" s="444"/>
      <c r="AG39" s="444"/>
      <c r="AH39" s="444"/>
      <c r="AI39" s="444"/>
      <c r="AJ39" s="444"/>
      <c r="AK39" s="444"/>
      <c r="AL39" s="444"/>
      <c r="AM39" s="444"/>
      <c r="AN39" s="444"/>
      <c r="AO39" s="444"/>
      <c r="AP39" s="444"/>
      <c r="AQ39" s="444"/>
      <c r="AR39" s="444"/>
      <c r="AS39" s="444"/>
      <c r="AT39" s="444"/>
      <c r="AU39" s="444"/>
      <c r="AV39" s="405"/>
      <c r="AW39" s="385">
        <f t="shared" si="19"/>
        <v>5.4105339214068132E-3</v>
      </c>
      <c r="AX39" s="167">
        <f t="shared" si="20"/>
        <v>0</v>
      </c>
    </row>
    <row r="40" spans="1:50">
      <c r="A40" s="94">
        <f t="shared" si="27"/>
        <v>15</v>
      </c>
      <c r="B40" s="86" t="s">
        <v>109</v>
      </c>
      <c r="C40" s="101"/>
      <c r="D40" s="102"/>
      <c r="E40" s="151">
        <v>900.25</v>
      </c>
      <c r="F40" s="140" t="s">
        <v>72</v>
      </c>
      <c r="G40" s="131">
        <v>9240</v>
      </c>
      <c r="H40" s="120">
        <v>2000</v>
      </c>
      <c r="I40" s="120">
        <f t="shared" si="42"/>
        <v>11240</v>
      </c>
      <c r="J40" s="120">
        <f t="shared" si="43"/>
        <v>8318310</v>
      </c>
      <c r="K40" s="120">
        <f t="shared" si="44"/>
        <v>1800500</v>
      </c>
      <c r="L40" s="120">
        <f t="shared" si="45"/>
        <v>10118810</v>
      </c>
      <c r="M40" s="114"/>
      <c r="N40" s="114"/>
      <c r="O40" s="114"/>
      <c r="P40" s="114">
        <v>1686</v>
      </c>
      <c r="Q40" s="166">
        <f t="shared" si="46"/>
        <v>12926</v>
      </c>
      <c r="R40" s="167">
        <f t="shared" si="47"/>
        <v>11636631.5</v>
      </c>
      <c r="S40" s="605">
        <f t="shared" si="48"/>
        <v>8.2752856995353102E-3</v>
      </c>
      <c r="T40" s="444"/>
      <c r="U40" s="444"/>
      <c r="V40" s="444"/>
      <c r="W40" s="444"/>
      <c r="X40" s="446">
        <f t="shared" si="49"/>
        <v>2.7584285665117701E-3</v>
      </c>
      <c r="Y40" s="446">
        <f t="shared" ref="Y40:Z40" si="52">X40</f>
        <v>2.7584285665117701E-3</v>
      </c>
      <c r="Z40" s="446">
        <f t="shared" si="52"/>
        <v>2.7584285665117701E-3</v>
      </c>
      <c r="AA40" s="444"/>
      <c r="AB40" s="444"/>
      <c r="AC40" s="444"/>
      <c r="AD40" s="444"/>
      <c r="AE40" s="444"/>
      <c r="AF40" s="444"/>
      <c r="AG40" s="444"/>
      <c r="AH40" s="444"/>
      <c r="AI40" s="444"/>
      <c r="AJ40" s="444"/>
      <c r="AK40" s="444"/>
      <c r="AL40" s="444"/>
      <c r="AM40" s="444"/>
      <c r="AN40" s="444"/>
      <c r="AO40" s="444"/>
      <c r="AP40" s="444"/>
      <c r="AQ40" s="444"/>
      <c r="AR40" s="444"/>
      <c r="AS40" s="444"/>
      <c r="AT40" s="444"/>
      <c r="AU40" s="444"/>
      <c r="AV40" s="405"/>
      <c r="AW40" s="385">
        <f t="shared" si="19"/>
        <v>8.2752856995353102E-3</v>
      </c>
      <c r="AX40" s="167">
        <f t="shared" si="20"/>
        <v>0</v>
      </c>
    </row>
    <row r="41" spans="1:50">
      <c r="A41" s="94">
        <f t="shared" si="27"/>
        <v>16</v>
      </c>
      <c r="B41" s="86" t="s">
        <v>110</v>
      </c>
      <c r="C41" s="101"/>
      <c r="D41" s="102"/>
      <c r="E41" s="151">
        <f>'[40]VOLUME PC'!I10</f>
        <v>39.6</v>
      </c>
      <c r="F41" s="140" t="s">
        <v>14</v>
      </c>
      <c r="G41" s="131">
        <v>102000</v>
      </c>
      <c r="H41" s="120">
        <v>40000</v>
      </c>
      <c r="I41" s="120">
        <f t="shared" si="42"/>
        <v>142000</v>
      </c>
      <c r="J41" s="120">
        <f t="shared" si="43"/>
        <v>4039200</v>
      </c>
      <c r="K41" s="120">
        <f t="shared" si="44"/>
        <v>1584000</v>
      </c>
      <c r="L41" s="120">
        <f t="shared" si="45"/>
        <v>5623200</v>
      </c>
      <c r="M41" s="114"/>
      <c r="N41" s="114"/>
      <c r="O41" s="114"/>
      <c r="P41" s="114">
        <v>21300</v>
      </c>
      <c r="Q41" s="166">
        <f t="shared" si="46"/>
        <v>163300</v>
      </c>
      <c r="R41" s="167">
        <f t="shared" si="47"/>
        <v>6466680</v>
      </c>
      <c r="S41" s="605">
        <f t="shared" si="48"/>
        <v>4.5987212474220742E-3</v>
      </c>
      <c r="T41" s="444"/>
      <c r="U41" s="444"/>
      <c r="V41" s="444"/>
      <c r="W41" s="444"/>
      <c r="X41" s="446">
        <f t="shared" si="49"/>
        <v>1.5329070824740248E-3</v>
      </c>
      <c r="Y41" s="446">
        <f t="shared" ref="Y41:Z41" si="53">X41</f>
        <v>1.5329070824740248E-3</v>
      </c>
      <c r="Z41" s="446">
        <f t="shared" si="53"/>
        <v>1.5329070824740248E-3</v>
      </c>
      <c r="AA41" s="444"/>
      <c r="AB41" s="444"/>
      <c r="AC41" s="444"/>
      <c r="AD41" s="444"/>
      <c r="AE41" s="444"/>
      <c r="AF41" s="444"/>
      <c r="AG41" s="444"/>
      <c r="AH41" s="444"/>
      <c r="AI41" s="444"/>
      <c r="AJ41" s="444"/>
      <c r="AK41" s="444"/>
      <c r="AL41" s="444"/>
      <c r="AM41" s="444"/>
      <c r="AN41" s="444"/>
      <c r="AO41" s="444"/>
      <c r="AP41" s="444"/>
      <c r="AQ41" s="444"/>
      <c r="AR41" s="444"/>
      <c r="AS41" s="444"/>
      <c r="AT41" s="444"/>
      <c r="AU41" s="444"/>
      <c r="AV41" s="405"/>
      <c r="AW41" s="385">
        <f t="shared" si="19"/>
        <v>4.5987212474220742E-3</v>
      </c>
      <c r="AX41" s="167">
        <f t="shared" si="20"/>
        <v>0</v>
      </c>
    </row>
    <row r="42" spans="1:50">
      <c r="A42" s="94">
        <f t="shared" si="27"/>
        <v>17</v>
      </c>
      <c r="B42" s="86" t="s">
        <v>111</v>
      </c>
      <c r="C42" s="101"/>
      <c r="D42" s="102"/>
      <c r="E42" s="151">
        <f>'[40]VOLUME PC'!I11</f>
        <v>62.400000000000006</v>
      </c>
      <c r="F42" s="140" t="s">
        <v>14</v>
      </c>
      <c r="G42" s="131">
        <v>102000</v>
      </c>
      <c r="H42" s="120">
        <v>40000</v>
      </c>
      <c r="I42" s="120">
        <f t="shared" si="42"/>
        <v>142000</v>
      </c>
      <c r="J42" s="120">
        <f t="shared" si="43"/>
        <v>6364800.0000000009</v>
      </c>
      <c r="K42" s="120">
        <f t="shared" si="44"/>
        <v>2496000</v>
      </c>
      <c r="L42" s="120">
        <f t="shared" si="45"/>
        <v>8860800</v>
      </c>
      <c r="M42" s="114"/>
      <c r="N42" s="114"/>
      <c r="O42" s="114"/>
      <c r="P42" s="114">
        <v>21300</v>
      </c>
      <c r="Q42" s="166">
        <f t="shared" si="46"/>
        <v>163300</v>
      </c>
      <c r="R42" s="167">
        <f t="shared" si="47"/>
        <v>10189920</v>
      </c>
      <c r="S42" s="605">
        <f t="shared" si="48"/>
        <v>7.2464698444226622E-3</v>
      </c>
      <c r="T42" s="444"/>
      <c r="U42" s="444"/>
      <c r="V42" s="444"/>
      <c r="W42" s="444"/>
      <c r="X42" s="446">
        <f t="shared" si="49"/>
        <v>2.4154899481408872E-3</v>
      </c>
      <c r="Y42" s="446">
        <f t="shared" ref="Y42:Z42" si="54">X42</f>
        <v>2.4154899481408872E-3</v>
      </c>
      <c r="Z42" s="446">
        <f t="shared" si="54"/>
        <v>2.4154899481408872E-3</v>
      </c>
      <c r="AA42" s="444"/>
      <c r="AB42" s="444"/>
      <c r="AC42" s="444"/>
      <c r="AD42" s="444"/>
      <c r="AE42" s="444"/>
      <c r="AF42" s="444"/>
      <c r="AG42" s="444"/>
      <c r="AH42" s="444"/>
      <c r="AI42" s="444"/>
      <c r="AJ42" s="444"/>
      <c r="AK42" s="444"/>
      <c r="AL42" s="444"/>
      <c r="AM42" s="444"/>
      <c r="AN42" s="444"/>
      <c r="AO42" s="444"/>
      <c r="AP42" s="444"/>
      <c r="AQ42" s="444"/>
      <c r="AR42" s="444"/>
      <c r="AS42" s="444"/>
      <c r="AT42" s="444"/>
      <c r="AU42" s="444"/>
      <c r="AV42" s="405"/>
      <c r="AW42" s="385">
        <f t="shared" si="19"/>
        <v>7.2464698444226622E-3</v>
      </c>
      <c r="AX42" s="167">
        <f t="shared" si="20"/>
        <v>0</v>
      </c>
    </row>
    <row r="43" spans="1:50">
      <c r="A43" s="94">
        <f t="shared" si="27"/>
        <v>18</v>
      </c>
      <c r="B43" s="93" t="s">
        <v>121</v>
      </c>
      <c r="C43" s="101"/>
      <c r="D43" s="102"/>
      <c r="E43" s="139">
        <f>(0.6*0.6*0.3)*17</f>
        <v>1.8360000000000001</v>
      </c>
      <c r="F43" s="140" t="s">
        <v>15</v>
      </c>
      <c r="G43" s="131">
        <v>0</v>
      </c>
      <c r="H43" s="120">
        <v>65000</v>
      </c>
      <c r="I43" s="120">
        <f t="shared" si="28"/>
        <v>65000</v>
      </c>
      <c r="J43" s="120">
        <f t="shared" si="29"/>
        <v>0</v>
      </c>
      <c r="K43" s="120">
        <f t="shared" si="30"/>
        <v>119340</v>
      </c>
      <c r="L43" s="120">
        <f t="shared" si="37"/>
        <v>119340</v>
      </c>
      <c r="M43" s="114">
        <v>6500</v>
      </c>
      <c r="N43" s="114">
        <v>10000</v>
      </c>
      <c r="O43" s="114">
        <v>5000</v>
      </c>
      <c r="P43" s="114">
        <v>9750</v>
      </c>
      <c r="Q43" s="166">
        <f t="shared" si="34"/>
        <v>89750</v>
      </c>
      <c r="R43" s="167">
        <f t="shared" si="31"/>
        <v>164781</v>
      </c>
      <c r="S43" s="605">
        <f t="shared" si="32"/>
        <v>1.1718252424295879E-4</v>
      </c>
      <c r="T43" s="444"/>
      <c r="U43" s="444"/>
      <c r="V43" s="444"/>
      <c r="W43" s="444"/>
      <c r="X43" s="444"/>
      <c r="Y43" s="446">
        <f>S43/4</f>
        <v>2.9295631060739699E-5</v>
      </c>
      <c r="Z43" s="445">
        <f>Y43</f>
        <v>2.9295631060739699E-5</v>
      </c>
      <c r="AA43" s="445">
        <f>Z43</f>
        <v>2.9295631060739699E-5</v>
      </c>
      <c r="AB43" s="445">
        <f>AA43</f>
        <v>2.9295631060739699E-5</v>
      </c>
      <c r="AC43" s="444"/>
      <c r="AD43" s="444"/>
      <c r="AE43" s="444"/>
      <c r="AF43" s="444"/>
      <c r="AG43" s="444"/>
      <c r="AH43" s="444"/>
      <c r="AI43" s="444"/>
      <c r="AJ43" s="444"/>
      <c r="AK43" s="444"/>
      <c r="AL43" s="444"/>
      <c r="AM43" s="444"/>
      <c r="AN43" s="444"/>
      <c r="AO43" s="444"/>
      <c r="AP43" s="444"/>
      <c r="AQ43" s="444"/>
      <c r="AR43" s="444"/>
      <c r="AS43" s="444"/>
      <c r="AT43" s="444"/>
      <c r="AU43" s="444"/>
      <c r="AV43" s="405"/>
      <c r="AW43" s="385">
        <f t="shared" si="19"/>
        <v>1.1718252424295879E-4</v>
      </c>
      <c r="AX43" s="167">
        <f t="shared" si="20"/>
        <v>0</v>
      </c>
    </row>
    <row r="44" spans="1:50">
      <c r="A44" s="94">
        <f t="shared" si="27"/>
        <v>19</v>
      </c>
      <c r="B44" s="93" t="s">
        <v>125</v>
      </c>
      <c r="C44" s="101"/>
      <c r="D44" s="102"/>
      <c r="E44" s="139">
        <f>(0.6*0.6*0.5)*17</f>
        <v>3.06</v>
      </c>
      <c r="F44" s="140" t="s">
        <v>15</v>
      </c>
      <c r="G44" s="131">
        <v>15400</v>
      </c>
      <c r="H44" s="120">
        <v>47500</v>
      </c>
      <c r="I44" s="120">
        <f t="shared" si="28"/>
        <v>62900</v>
      </c>
      <c r="J44" s="120">
        <f t="shared" si="29"/>
        <v>47124</v>
      </c>
      <c r="K44" s="120">
        <f t="shared" si="30"/>
        <v>145350</v>
      </c>
      <c r="L44" s="120">
        <f t="shared" si="37"/>
        <v>192474</v>
      </c>
      <c r="M44" s="114">
        <v>6290</v>
      </c>
      <c r="N44" s="114">
        <v>10000</v>
      </c>
      <c r="O44" s="114">
        <v>5000</v>
      </c>
      <c r="P44" s="114">
        <v>9435</v>
      </c>
      <c r="Q44" s="166">
        <f t="shared" si="34"/>
        <v>87335</v>
      </c>
      <c r="R44" s="167">
        <f t="shared" si="31"/>
        <v>267245.09999999998</v>
      </c>
      <c r="S44" s="605">
        <f t="shared" si="32"/>
        <v>1.900489462350753E-4</v>
      </c>
      <c r="T44" s="444"/>
      <c r="U44" s="444"/>
      <c r="V44" s="444"/>
      <c r="W44" s="444"/>
      <c r="X44" s="444"/>
      <c r="Y44" s="446">
        <f t="shared" ref="Y44:Y63" si="55">S44/4</f>
        <v>4.7512236558768825E-5</v>
      </c>
      <c r="Z44" s="445">
        <f t="shared" ref="Z44:AB44" si="56">Y44</f>
        <v>4.7512236558768825E-5</v>
      </c>
      <c r="AA44" s="445">
        <f t="shared" si="56"/>
        <v>4.7512236558768825E-5</v>
      </c>
      <c r="AB44" s="445">
        <f t="shared" si="56"/>
        <v>4.7512236558768825E-5</v>
      </c>
      <c r="AC44" s="444"/>
      <c r="AD44" s="444"/>
      <c r="AE44" s="444"/>
      <c r="AF44" s="444"/>
      <c r="AG44" s="444"/>
      <c r="AH44" s="444"/>
      <c r="AI44" s="444"/>
      <c r="AJ44" s="444"/>
      <c r="AK44" s="444"/>
      <c r="AL44" s="444"/>
      <c r="AM44" s="444"/>
      <c r="AN44" s="444"/>
      <c r="AO44" s="444"/>
      <c r="AP44" s="444"/>
      <c r="AQ44" s="444"/>
      <c r="AR44" s="444"/>
      <c r="AS44" s="444"/>
      <c r="AT44" s="444"/>
      <c r="AU44" s="444"/>
      <c r="AV44" s="405"/>
      <c r="AW44" s="385">
        <f t="shared" si="19"/>
        <v>1.900489462350753E-4</v>
      </c>
      <c r="AX44" s="167">
        <f t="shared" si="20"/>
        <v>0</v>
      </c>
    </row>
    <row r="45" spans="1:50">
      <c r="A45" s="94">
        <f t="shared" si="27"/>
        <v>20</v>
      </c>
      <c r="B45" s="93" t="s">
        <v>126</v>
      </c>
      <c r="C45" s="101"/>
      <c r="D45" s="102"/>
      <c r="E45" s="139">
        <f>E44</f>
        <v>3.06</v>
      </c>
      <c r="F45" s="140" t="s">
        <v>15</v>
      </c>
      <c r="G45" s="131">
        <v>13200</v>
      </c>
      <c r="H45" s="120">
        <v>36000</v>
      </c>
      <c r="I45" s="120">
        <f t="shared" si="28"/>
        <v>49200</v>
      </c>
      <c r="J45" s="120">
        <f t="shared" si="29"/>
        <v>40392</v>
      </c>
      <c r="K45" s="120">
        <f t="shared" si="30"/>
        <v>110160</v>
      </c>
      <c r="L45" s="120">
        <f t="shared" si="37"/>
        <v>150552</v>
      </c>
      <c r="M45" s="114">
        <v>4920</v>
      </c>
      <c r="N45" s="114">
        <v>10000</v>
      </c>
      <c r="O45" s="114">
        <v>5000</v>
      </c>
      <c r="P45" s="114">
        <v>7380</v>
      </c>
      <c r="Q45" s="166">
        <f t="shared" si="34"/>
        <v>71580</v>
      </c>
      <c r="R45" s="167">
        <f t="shared" si="31"/>
        <v>219034.80000000002</v>
      </c>
      <c r="S45" s="605">
        <f t="shared" si="32"/>
        <v>1.5576462553966558E-4</v>
      </c>
      <c r="T45" s="444"/>
      <c r="U45" s="444"/>
      <c r="V45" s="444"/>
      <c r="W45" s="444"/>
      <c r="X45" s="444"/>
      <c r="Y45" s="446">
        <f t="shared" si="55"/>
        <v>3.8941156384916395E-5</v>
      </c>
      <c r="Z45" s="445">
        <f t="shared" ref="Z45:AB45" si="57">Y45</f>
        <v>3.8941156384916395E-5</v>
      </c>
      <c r="AA45" s="445">
        <f t="shared" si="57"/>
        <v>3.8941156384916395E-5</v>
      </c>
      <c r="AB45" s="445">
        <f t="shared" si="57"/>
        <v>3.8941156384916395E-5</v>
      </c>
      <c r="AC45" s="444"/>
      <c r="AD45" s="444"/>
      <c r="AE45" s="444"/>
      <c r="AF45" s="444"/>
      <c r="AG45" s="444"/>
      <c r="AH45" s="444"/>
      <c r="AI45" s="444"/>
      <c r="AJ45" s="444"/>
      <c r="AK45" s="444"/>
      <c r="AL45" s="444"/>
      <c r="AM45" s="444"/>
      <c r="AN45" s="444"/>
      <c r="AO45" s="444"/>
      <c r="AP45" s="444"/>
      <c r="AQ45" s="444"/>
      <c r="AR45" s="444"/>
      <c r="AS45" s="444"/>
      <c r="AT45" s="444"/>
      <c r="AU45" s="444"/>
      <c r="AV45" s="405"/>
      <c r="AW45" s="385">
        <f t="shared" si="19"/>
        <v>1.5576462553966558E-4</v>
      </c>
      <c r="AX45" s="167">
        <f t="shared" si="20"/>
        <v>0</v>
      </c>
    </row>
    <row r="46" spans="1:50">
      <c r="A46" s="94">
        <f t="shared" si="27"/>
        <v>21</v>
      </c>
      <c r="B46" s="93" t="s">
        <v>122</v>
      </c>
      <c r="C46" s="101"/>
      <c r="D46" s="102"/>
      <c r="E46" s="139">
        <f>'[40]VOLUME BP &amp; GALIAN'!F61</f>
        <v>18.013000000000005</v>
      </c>
      <c r="F46" s="140" t="s">
        <v>15</v>
      </c>
      <c r="G46" s="131"/>
      <c r="H46" s="120">
        <v>65000</v>
      </c>
      <c r="I46" s="120">
        <f t="shared" si="28"/>
        <v>65000</v>
      </c>
      <c r="J46" s="120">
        <f t="shared" si="29"/>
        <v>0</v>
      </c>
      <c r="K46" s="120">
        <f t="shared" si="30"/>
        <v>1170845.0000000002</v>
      </c>
      <c r="L46" s="120">
        <f t="shared" si="37"/>
        <v>1170845.0000000002</v>
      </c>
      <c r="M46" s="114">
        <v>6500</v>
      </c>
      <c r="N46" s="114">
        <v>10000</v>
      </c>
      <c r="O46" s="114">
        <v>5000</v>
      </c>
      <c r="P46" s="114">
        <v>9750</v>
      </c>
      <c r="Q46" s="166">
        <f t="shared" si="34"/>
        <v>89750</v>
      </c>
      <c r="R46" s="167">
        <f t="shared" si="31"/>
        <v>1616666.7500000005</v>
      </c>
      <c r="S46" s="605">
        <f t="shared" si="32"/>
        <v>1.1496780006472862E-3</v>
      </c>
      <c r="T46" s="444"/>
      <c r="U46" s="444"/>
      <c r="V46" s="444"/>
      <c r="W46" s="444"/>
      <c r="X46" s="444"/>
      <c r="Y46" s="446">
        <f t="shared" si="55"/>
        <v>2.8741950016182154E-4</v>
      </c>
      <c r="Z46" s="445">
        <f t="shared" ref="Z46:AB46" si="58">Y46</f>
        <v>2.8741950016182154E-4</v>
      </c>
      <c r="AA46" s="445">
        <f t="shared" si="58"/>
        <v>2.8741950016182154E-4</v>
      </c>
      <c r="AB46" s="445">
        <f t="shared" si="58"/>
        <v>2.8741950016182154E-4</v>
      </c>
      <c r="AC46" s="444"/>
      <c r="AD46" s="444"/>
      <c r="AE46" s="444"/>
      <c r="AF46" s="444"/>
      <c r="AG46" s="444"/>
      <c r="AH46" s="444"/>
      <c r="AI46" s="444"/>
      <c r="AJ46" s="444"/>
      <c r="AK46" s="444"/>
      <c r="AL46" s="444"/>
      <c r="AM46" s="444"/>
      <c r="AN46" s="444"/>
      <c r="AO46" s="444"/>
      <c r="AP46" s="444"/>
      <c r="AQ46" s="444"/>
      <c r="AR46" s="444"/>
      <c r="AS46" s="444"/>
      <c r="AT46" s="444"/>
      <c r="AU46" s="444"/>
      <c r="AV46" s="405"/>
      <c r="AW46" s="385">
        <f t="shared" si="19"/>
        <v>1.1496780006472862E-3</v>
      </c>
      <c r="AX46" s="167">
        <f t="shared" si="20"/>
        <v>0</v>
      </c>
    </row>
    <row r="47" spans="1:50">
      <c r="A47" s="94">
        <f t="shared" si="27"/>
        <v>22</v>
      </c>
      <c r="B47" s="93" t="s">
        <v>123</v>
      </c>
      <c r="C47" s="101"/>
      <c r="D47" s="102"/>
      <c r="E47" s="139">
        <f>'[40]VOLUME BP &amp; GALIAN'!F76</f>
        <v>9.7693750000000019</v>
      </c>
      <c r="F47" s="140" t="s">
        <v>15</v>
      </c>
      <c r="G47" s="131"/>
      <c r="H47" s="120">
        <v>65000</v>
      </c>
      <c r="I47" s="120">
        <f t="shared" si="28"/>
        <v>65000</v>
      </c>
      <c r="J47" s="120">
        <f t="shared" si="29"/>
        <v>0</v>
      </c>
      <c r="K47" s="120">
        <f t="shared" si="30"/>
        <v>635009.37500000012</v>
      </c>
      <c r="L47" s="120">
        <f t="shared" si="37"/>
        <v>635009.37500000012</v>
      </c>
      <c r="M47" s="114">
        <v>6500</v>
      </c>
      <c r="N47" s="114">
        <v>10000</v>
      </c>
      <c r="O47" s="114">
        <v>5000</v>
      </c>
      <c r="P47" s="114">
        <v>9750</v>
      </c>
      <c r="Q47" s="166">
        <f t="shared" si="34"/>
        <v>89750</v>
      </c>
      <c r="R47" s="167">
        <f t="shared" si="31"/>
        <v>876801.40625000012</v>
      </c>
      <c r="S47" s="605">
        <f t="shared" si="32"/>
        <v>6.2352942416996494E-4</v>
      </c>
      <c r="T47" s="444"/>
      <c r="U47" s="444"/>
      <c r="V47" s="444"/>
      <c r="W47" s="444"/>
      <c r="X47" s="444"/>
      <c r="Y47" s="446">
        <f t="shared" si="55"/>
        <v>1.5588235604249123E-4</v>
      </c>
      <c r="Z47" s="445">
        <f t="shared" ref="Z47:AB47" si="59">Y47</f>
        <v>1.5588235604249123E-4</v>
      </c>
      <c r="AA47" s="445">
        <f t="shared" si="59"/>
        <v>1.5588235604249123E-4</v>
      </c>
      <c r="AB47" s="445">
        <f t="shared" si="59"/>
        <v>1.5588235604249123E-4</v>
      </c>
      <c r="AC47" s="444"/>
      <c r="AD47" s="444"/>
      <c r="AE47" s="444"/>
      <c r="AF47" s="444"/>
      <c r="AG47" s="444"/>
      <c r="AH47" s="444"/>
      <c r="AI47" s="444"/>
      <c r="AJ47" s="444"/>
      <c r="AK47" s="444"/>
      <c r="AL47" s="444"/>
      <c r="AM47" s="444"/>
      <c r="AN47" s="444"/>
      <c r="AO47" s="444"/>
      <c r="AP47" s="444"/>
      <c r="AQ47" s="444"/>
      <c r="AR47" s="444"/>
      <c r="AS47" s="444"/>
      <c r="AT47" s="444"/>
      <c r="AU47" s="444"/>
      <c r="AV47" s="405"/>
      <c r="AW47" s="385">
        <f t="shared" si="19"/>
        <v>6.2352942416996494E-4</v>
      </c>
      <c r="AX47" s="167">
        <f t="shared" si="20"/>
        <v>0</v>
      </c>
    </row>
    <row r="48" spans="1:50">
      <c r="A48" s="94">
        <f t="shared" si="27"/>
        <v>23</v>
      </c>
      <c r="B48" s="93" t="s">
        <v>124</v>
      </c>
      <c r="C48" s="101"/>
      <c r="D48" s="102"/>
      <c r="E48" s="139">
        <f>'[40]VOLUME BP &amp; GALIAN'!F108</f>
        <v>5.5738799999999991</v>
      </c>
      <c r="F48" s="140" t="s">
        <v>15</v>
      </c>
      <c r="G48" s="131"/>
      <c r="H48" s="120">
        <v>65000</v>
      </c>
      <c r="I48" s="120">
        <f t="shared" si="28"/>
        <v>65000</v>
      </c>
      <c r="J48" s="120">
        <f t="shared" si="29"/>
        <v>0</v>
      </c>
      <c r="K48" s="120">
        <f t="shared" si="30"/>
        <v>362302.19999999995</v>
      </c>
      <c r="L48" s="120">
        <f t="shared" si="37"/>
        <v>362302.19999999995</v>
      </c>
      <c r="M48" s="114">
        <v>6500</v>
      </c>
      <c r="N48" s="114">
        <v>10000</v>
      </c>
      <c r="O48" s="114">
        <v>5000</v>
      </c>
      <c r="P48" s="114">
        <v>9750</v>
      </c>
      <c r="Q48" s="166">
        <f t="shared" si="34"/>
        <v>89750</v>
      </c>
      <c r="R48" s="167">
        <f t="shared" si="31"/>
        <v>500255.72999999992</v>
      </c>
      <c r="S48" s="605">
        <f t="shared" si="32"/>
        <v>3.5575235742230012E-4</v>
      </c>
      <c r="T48" s="444"/>
      <c r="U48" s="444"/>
      <c r="V48" s="444"/>
      <c r="W48" s="444"/>
      <c r="X48" s="444"/>
      <c r="Y48" s="446">
        <f t="shared" si="55"/>
        <v>8.8938089355575031E-5</v>
      </c>
      <c r="Z48" s="445">
        <f t="shared" ref="Z48:AB48" si="60">Y48</f>
        <v>8.8938089355575031E-5</v>
      </c>
      <c r="AA48" s="445">
        <f t="shared" si="60"/>
        <v>8.8938089355575031E-5</v>
      </c>
      <c r="AB48" s="445">
        <f t="shared" si="60"/>
        <v>8.8938089355575031E-5</v>
      </c>
      <c r="AC48" s="444"/>
      <c r="AD48" s="444"/>
      <c r="AE48" s="444"/>
      <c r="AF48" s="444"/>
      <c r="AG48" s="444"/>
      <c r="AH48" s="444"/>
      <c r="AI48" s="444"/>
      <c r="AJ48" s="444"/>
      <c r="AK48" s="444"/>
      <c r="AL48" s="444"/>
      <c r="AM48" s="444"/>
      <c r="AN48" s="444"/>
      <c r="AO48" s="444"/>
      <c r="AP48" s="444"/>
      <c r="AQ48" s="444"/>
      <c r="AR48" s="444"/>
      <c r="AS48" s="444"/>
      <c r="AT48" s="444"/>
      <c r="AU48" s="444"/>
      <c r="AV48" s="405"/>
      <c r="AW48" s="385">
        <f t="shared" si="19"/>
        <v>3.5575235742230012E-4</v>
      </c>
      <c r="AX48" s="167">
        <f t="shared" si="20"/>
        <v>0</v>
      </c>
    </row>
    <row r="49" spans="1:50" ht="16" thickBot="1">
      <c r="A49" s="94">
        <f t="shared" si="27"/>
        <v>24</v>
      </c>
      <c r="B49" s="105" t="s">
        <v>148</v>
      </c>
      <c r="C49" s="106"/>
      <c r="D49" s="107"/>
      <c r="E49" s="152">
        <f>E31+E32</f>
        <v>11.16</v>
      </c>
      <c r="F49" s="146" t="s">
        <v>15</v>
      </c>
      <c r="G49" s="132"/>
      <c r="H49" s="121">
        <v>35000</v>
      </c>
      <c r="I49" s="121">
        <f t="shared" si="28"/>
        <v>35000</v>
      </c>
      <c r="J49" s="121"/>
      <c r="K49" s="121">
        <f t="shared" si="30"/>
        <v>390600</v>
      </c>
      <c r="L49" s="120">
        <f t="shared" si="37"/>
        <v>390600</v>
      </c>
      <c r="M49" s="114">
        <v>3500</v>
      </c>
      <c r="N49" s="114">
        <v>10000</v>
      </c>
      <c r="O49" s="114">
        <v>5000</v>
      </c>
      <c r="P49" s="114">
        <v>5250</v>
      </c>
      <c r="Q49" s="166">
        <f t="shared" si="34"/>
        <v>55250</v>
      </c>
      <c r="R49" s="167">
        <f t="shared" si="31"/>
        <v>616590</v>
      </c>
      <c r="S49" s="605">
        <f t="shared" si="32"/>
        <v>4.3848242590447908E-4</v>
      </c>
      <c r="T49" s="444"/>
      <c r="U49" s="444"/>
      <c r="V49" s="444"/>
      <c r="W49" s="444"/>
      <c r="X49" s="444"/>
      <c r="Y49" s="446">
        <f t="shared" si="55"/>
        <v>1.0962060647611977E-4</v>
      </c>
      <c r="Z49" s="445">
        <f t="shared" ref="Z49:AB49" si="61">Y49</f>
        <v>1.0962060647611977E-4</v>
      </c>
      <c r="AA49" s="445">
        <f t="shared" si="61"/>
        <v>1.0962060647611977E-4</v>
      </c>
      <c r="AB49" s="445">
        <f t="shared" si="61"/>
        <v>1.0962060647611977E-4</v>
      </c>
      <c r="AC49" s="444"/>
      <c r="AD49" s="444"/>
      <c r="AE49" s="444"/>
      <c r="AF49" s="444"/>
      <c r="AG49" s="444"/>
      <c r="AH49" s="444"/>
      <c r="AI49" s="444"/>
      <c r="AJ49" s="444"/>
      <c r="AK49" s="444"/>
      <c r="AL49" s="444"/>
      <c r="AM49" s="444"/>
      <c r="AN49" s="444"/>
      <c r="AO49" s="444"/>
      <c r="AP49" s="444"/>
      <c r="AQ49" s="444"/>
      <c r="AR49" s="444"/>
      <c r="AS49" s="444"/>
      <c r="AT49" s="444"/>
      <c r="AU49" s="444"/>
      <c r="AV49" s="405"/>
      <c r="AW49" s="385">
        <f t="shared" si="19"/>
        <v>4.3848242590447908E-4</v>
      </c>
      <c r="AX49" s="167">
        <f t="shared" si="20"/>
        <v>0</v>
      </c>
    </row>
    <row r="50" spans="1:50">
      <c r="A50" s="94">
        <f t="shared" si="27"/>
        <v>25</v>
      </c>
      <c r="B50" s="86" t="s">
        <v>152</v>
      </c>
      <c r="C50" s="101"/>
      <c r="D50" s="102"/>
      <c r="E50" s="151">
        <v>326.20999999999998</v>
      </c>
      <c r="F50" s="140" t="s">
        <v>14</v>
      </c>
      <c r="G50" s="131">
        <v>70000</v>
      </c>
      <c r="H50" s="120">
        <v>3000</v>
      </c>
      <c r="I50" s="120">
        <f t="shared" ref="I50:I63" si="62">H50+G50</f>
        <v>73000</v>
      </c>
      <c r="J50" s="120">
        <f t="shared" ref="J50:J63" si="63">E50*G50</f>
        <v>22834700</v>
      </c>
      <c r="K50" s="120">
        <f t="shared" ref="K50:K63" si="64">E50*H50</f>
        <v>978629.99999999988</v>
      </c>
      <c r="L50" s="120">
        <f t="shared" ref="L50:L63" si="65">K50+J50</f>
        <v>23813330</v>
      </c>
      <c r="M50" s="114"/>
      <c r="N50" s="114"/>
      <c r="O50" s="114"/>
      <c r="P50" s="114">
        <v>10950</v>
      </c>
      <c r="Q50" s="166">
        <f t="shared" ref="Q50:Q63" si="66">I50+M50+N50+O50+P50</f>
        <v>83950</v>
      </c>
      <c r="R50" s="167">
        <f t="shared" ref="R50:R63" si="67">Q50*E50</f>
        <v>27385329.5</v>
      </c>
      <c r="S50" s="605">
        <f t="shared" si="32"/>
        <v>1.9474830460035834E-2</v>
      </c>
      <c r="T50" s="444"/>
      <c r="U50" s="444"/>
      <c r="V50" s="444"/>
      <c r="W50" s="444"/>
      <c r="X50" s="444"/>
      <c r="Y50" s="446">
        <f t="shared" si="55"/>
        <v>4.8687076150089586E-3</v>
      </c>
      <c r="Z50" s="445">
        <f t="shared" ref="Z50:AB50" si="68">Y50</f>
        <v>4.8687076150089586E-3</v>
      </c>
      <c r="AA50" s="445">
        <f t="shared" si="68"/>
        <v>4.8687076150089586E-3</v>
      </c>
      <c r="AB50" s="445">
        <f t="shared" si="68"/>
        <v>4.8687076150089586E-3</v>
      </c>
      <c r="AC50" s="444"/>
      <c r="AD50" s="444"/>
      <c r="AE50" s="444"/>
      <c r="AF50" s="444"/>
      <c r="AG50" s="444"/>
      <c r="AH50" s="444"/>
      <c r="AI50" s="444"/>
      <c r="AJ50" s="444"/>
      <c r="AK50" s="444"/>
      <c r="AL50" s="444"/>
      <c r="AM50" s="444"/>
      <c r="AN50" s="444"/>
      <c r="AO50" s="444"/>
      <c r="AP50" s="444"/>
      <c r="AQ50" s="444"/>
      <c r="AR50" s="444"/>
      <c r="AS50" s="444"/>
      <c r="AT50" s="444"/>
      <c r="AU50" s="444"/>
      <c r="AV50" s="405"/>
      <c r="AW50" s="385">
        <f t="shared" si="19"/>
        <v>1.9474830460035834E-2</v>
      </c>
      <c r="AX50" s="167">
        <f t="shared" si="20"/>
        <v>0</v>
      </c>
    </row>
    <row r="51" spans="1:50">
      <c r="A51" s="94">
        <f t="shared" si="27"/>
        <v>26</v>
      </c>
      <c r="B51" s="86" t="s">
        <v>153</v>
      </c>
      <c r="C51" s="101"/>
      <c r="D51" s="102"/>
      <c r="E51" s="151">
        <f>'[40]Volume Wiremesh &amp; Lantai'!G3</f>
        <v>39.145199999999996</v>
      </c>
      <c r="F51" s="140" t="s">
        <v>15</v>
      </c>
      <c r="G51" s="131">
        <v>715000</v>
      </c>
      <c r="H51" s="120">
        <v>300000</v>
      </c>
      <c r="I51" s="120">
        <f t="shared" si="62"/>
        <v>1015000</v>
      </c>
      <c r="J51" s="120">
        <f t="shared" si="63"/>
        <v>27988817.999999996</v>
      </c>
      <c r="K51" s="120">
        <f t="shared" si="64"/>
        <v>11743559.999999998</v>
      </c>
      <c r="L51" s="120">
        <f t="shared" si="65"/>
        <v>39732377.999999993</v>
      </c>
      <c r="M51" s="114"/>
      <c r="N51" s="114"/>
      <c r="O51" s="114"/>
      <c r="P51" s="114">
        <v>152250</v>
      </c>
      <c r="Q51" s="166">
        <f t="shared" si="66"/>
        <v>1167250</v>
      </c>
      <c r="R51" s="167">
        <f t="shared" si="67"/>
        <v>45692234.699999996</v>
      </c>
      <c r="S51" s="605">
        <f t="shared" si="32"/>
        <v>3.2493621233320058E-2</v>
      </c>
      <c r="T51" s="444"/>
      <c r="U51" s="444"/>
      <c r="V51" s="444"/>
      <c r="W51" s="444"/>
      <c r="X51" s="444"/>
      <c r="Y51" s="446">
        <f t="shared" si="55"/>
        <v>8.1234053083300145E-3</v>
      </c>
      <c r="Z51" s="445">
        <f t="shared" ref="Z51:AB51" si="69">Y51</f>
        <v>8.1234053083300145E-3</v>
      </c>
      <c r="AA51" s="445">
        <f t="shared" si="69"/>
        <v>8.1234053083300145E-3</v>
      </c>
      <c r="AB51" s="445">
        <f t="shared" si="69"/>
        <v>8.1234053083300145E-3</v>
      </c>
      <c r="AC51" s="444"/>
      <c r="AD51" s="444"/>
      <c r="AE51" s="444"/>
      <c r="AF51" s="444"/>
      <c r="AG51" s="444"/>
      <c r="AH51" s="444"/>
      <c r="AI51" s="444"/>
      <c r="AJ51" s="444"/>
      <c r="AK51" s="444"/>
      <c r="AL51" s="444"/>
      <c r="AM51" s="444"/>
      <c r="AN51" s="444"/>
      <c r="AO51" s="444"/>
      <c r="AP51" s="444"/>
      <c r="AQ51" s="444"/>
      <c r="AR51" s="444"/>
      <c r="AS51" s="444"/>
      <c r="AT51" s="444"/>
      <c r="AU51" s="444"/>
      <c r="AV51" s="405"/>
      <c r="AW51" s="385">
        <f t="shared" si="19"/>
        <v>3.2493621233320058E-2</v>
      </c>
      <c r="AX51" s="167">
        <f t="shared" si="20"/>
        <v>0</v>
      </c>
    </row>
    <row r="52" spans="1:50">
      <c r="A52" s="94">
        <f t="shared" si="27"/>
        <v>27</v>
      </c>
      <c r="B52" s="86" t="s">
        <v>112</v>
      </c>
      <c r="C52" s="101"/>
      <c r="D52" s="102"/>
      <c r="E52" s="151">
        <f>'[40]VOLUME BP &amp; GALIAN'!T61</f>
        <v>14.410399999999999</v>
      </c>
      <c r="F52" s="140" t="s">
        <v>15</v>
      </c>
      <c r="G52" s="131">
        <v>715000</v>
      </c>
      <c r="H52" s="120">
        <v>300000</v>
      </c>
      <c r="I52" s="120">
        <f t="shared" si="62"/>
        <v>1015000</v>
      </c>
      <c r="J52" s="120">
        <f t="shared" si="63"/>
        <v>10303436</v>
      </c>
      <c r="K52" s="120">
        <f t="shared" si="64"/>
        <v>4323120</v>
      </c>
      <c r="L52" s="120">
        <f t="shared" si="65"/>
        <v>14626556</v>
      </c>
      <c r="M52" s="114"/>
      <c r="N52" s="114"/>
      <c r="O52" s="114"/>
      <c r="P52" s="114">
        <v>152250</v>
      </c>
      <c r="Q52" s="166">
        <f t="shared" si="66"/>
        <v>1167250</v>
      </c>
      <c r="R52" s="167">
        <f t="shared" si="67"/>
        <v>16820539.399999999</v>
      </c>
      <c r="S52" s="605">
        <f t="shared" si="32"/>
        <v>1.1961775119826578E-2</v>
      </c>
      <c r="T52" s="444"/>
      <c r="U52" s="444"/>
      <c r="V52" s="444"/>
      <c r="W52" s="444"/>
      <c r="X52" s="444"/>
      <c r="Y52" s="446">
        <f t="shared" si="55"/>
        <v>2.9904437799566446E-3</v>
      </c>
      <c r="Z52" s="445">
        <f t="shared" ref="Z52:AB52" si="70">Y52</f>
        <v>2.9904437799566446E-3</v>
      </c>
      <c r="AA52" s="445">
        <f t="shared" si="70"/>
        <v>2.9904437799566446E-3</v>
      </c>
      <c r="AB52" s="445">
        <f t="shared" si="70"/>
        <v>2.9904437799566446E-3</v>
      </c>
      <c r="AC52" s="444"/>
      <c r="AD52" s="444"/>
      <c r="AE52" s="444"/>
      <c r="AF52" s="444"/>
      <c r="AG52" s="444"/>
      <c r="AH52" s="444"/>
      <c r="AI52" s="444"/>
      <c r="AJ52" s="444"/>
      <c r="AK52" s="444"/>
      <c r="AL52" s="444"/>
      <c r="AM52" s="444"/>
      <c r="AN52" s="444"/>
      <c r="AO52" s="444"/>
      <c r="AP52" s="444"/>
      <c r="AQ52" s="444"/>
      <c r="AR52" s="444"/>
      <c r="AS52" s="444"/>
      <c r="AT52" s="444"/>
      <c r="AU52" s="444"/>
      <c r="AV52" s="405"/>
      <c r="AW52" s="385">
        <f t="shared" si="19"/>
        <v>1.1961775119826578E-2</v>
      </c>
      <c r="AX52" s="167">
        <f t="shared" si="20"/>
        <v>0</v>
      </c>
    </row>
    <row r="53" spans="1:50">
      <c r="A53" s="94">
        <f t="shared" si="27"/>
        <v>28</v>
      </c>
      <c r="B53" s="86" t="s">
        <v>113</v>
      </c>
      <c r="C53" s="101"/>
      <c r="D53" s="102"/>
      <c r="E53" s="151">
        <f>'[40]VOLUME BP &amp; GALIAN'!T76</f>
        <v>7.9931249999999991</v>
      </c>
      <c r="F53" s="140" t="s">
        <v>15</v>
      </c>
      <c r="G53" s="131">
        <f>G50</f>
        <v>70000</v>
      </c>
      <c r="H53" s="120">
        <v>300000</v>
      </c>
      <c r="I53" s="120">
        <f t="shared" si="62"/>
        <v>370000</v>
      </c>
      <c r="J53" s="120">
        <f t="shared" si="63"/>
        <v>559518.74999999988</v>
      </c>
      <c r="K53" s="120">
        <f t="shared" si="64"/>
        <v>2397937.4999999995</v>
      </c>
      <c r="L53" s="120">
        <f t="shared" si="65"/>
        <v>2957456.2499999995</v>
      </c>
      <c r="M53" s="114"/>
      <c r="N53" s="114"/>
      <c r="O53" s="114"/>
      <c r="P53" s="114">
        <v>55500</v>
      </c>
      <c r="Q53" s="166">
        <f t="shared" si="66"/>
        <v>425500</v>
      </c>
      <c r="R53" s="167">
        <f t="shared" si="67"/>
        <v>3401074.6874999995</v>
      </c>
      <c r="S53" s="605">
        <f t="shared" si="32"/>
        <v>2.418643636220694E-3</v>
      </c>
      <c r="T53" s="444"/>
      <c r="U53" s="444"/>
      <c r="V53" s="444"/>
      <c r="W53" s="444"/>
      <c r="X53" s="444"/>
      <c r="Y53" s="446">
        <f t="shared" si="55"/>
        <v>6.046609090551735E-4</v>
      </c>
      <c r="Z53" s="445">
        <f t="shared" ref="Z53:AB53" si="71">Y53</f>
        <v>6.046609090551735E-4</v>
      </c>
      <c r="AA53" s="445">
        <f t="shared" si="71"/>
        <v>6.046609090551735E-4</v>
      </c>
      <c r="AB53" s="445">
        <f t="shared" si="71"/>
        <v>6.046609090551735E-4</v>
      </c>
      <c r="AC53" s="444"/>
      <c r="AD53" s="444"/>
      <c r="AE53" s="444"/>
      <c r="AF53" s="444"/>
      <c r="AG53" s="444"/>
      <c r="AH53" s="444"/>
      <c r="AI53" s="444"/>
      <c r="AJ53" s="444"/>
      <c r="AK53" s="444"/>
      <c r="AL53" s="444"/>
      <c r="AM53" s="444"/>
      <c r="AN53" s="444"/>
      <c r="AO53" s="444"/>
      <c r="AP53" s="444"/>
      <c r="AQ53" s="444"/>
      <c r="AR53" s="444"/>
      <c r="AS53" s="444"/>
      <c r="AT53" s="444"/>
      <c r="AU53" s="444"/>
      <c r="AV53" s="405"/>
      <c r="AW53" s="385">
        <f t="shared" si="19"/>
        <v>2.418643636220694E-3</v>
      </c>
      <c r="AX53" s="167">
        <f t="shared" si="20"/>
        <v>0</v>
      </c>
    </row>
    <row r="54" spans="1:50">
      <c r="A54" s="94">
        <f t="shared" ref="A54:A63" si="72">A53+1</f>
        <v>29</v>
      </c>
      <c r="B54" s="86" t="s">
        <v>114</v>
      </c>
      <c r="C54" s="101"/>
      <c r="D54" s="102"/>
      <c r="E54" s="151">
        <f>'[40]VOLUME BP &amp; GALIAN'!T109</f>
        <v>3.7159199999999997</v>
      </c>
      <c r="F54" s="140" t="s">
        <v>15</v>
      </c>
      <c r="G54" s="131">
        <f>G51</f>
        <v>715000</v>
      </c>
      <c r="H54" s="120">
        <v>300000</v>
      </c>
      <c r="I54" s="120">
        <f t="shared" si="62"/>
        <v>1015000</v>
      </c>
      <c r="J54" s="120">
        <f t="shared" si="63"/>
        <v>2656882.7999999998</v>
      </c>
      <c r="K54" s="120">
        <f t="shared" si="64"/>
        <v>1114776</v>
      </c>
      <c r="L54" s="120">
        <f t="shared" si="65"/>
        <v>3771658.8</v>
      </c>
      <c r="M54" s="114"/>
      <c r="N54" s="114"/>
      <c r="O54" s="114"/>
      <c r="P54" s="114">
        <v>152250</v>
      </c>
      <c r="Q54" s="166">
        <f t="shared" si="66"/>
        <v>1167250</v>
      </c>
      <c r="R54" s="167">
        <f t="shared" si="67"/>
        <v>4337407.6199999992</v>
      </c>
      <c r="S54" s="605">
        <f t="shared" si="32"/>
        <v>3.0845083691823944E-3</v>
      </c>
      <c r="T54" s="444"/>
      <c r="U54" s="444"/>
      <c r="V54" s="444"/>
      <c r="W54" s="444"/>
      <c r="X54" s="444"/>
      <c r="Y54" s="446">
        <f t="shared" si="55"/>
        <v>7.711270922955986E-4</v>
      </c>
      <c r="Z54" s="445">
        <f t="shared" ref="Z54:AB54" si="73">Y54</f>
        <v>7.711270922955986E-4</v>
      </c>
      <c r="AA54" s="445">
        <f t="shared" si="73"/>
        <v>7.711270922955986E-4</v>
      </c>
      <c r="AB54" s="445">
        <f t="shared" si="73"/>
        <v>7.711270922955986E-4</v>
      </c>
      <c r="AC54" s="444"/>
      <c r="AD54" s="444"/>
      <c r="AE54" s="444"/>
      <c r="AF54" s="444"/>
      <c r="AG54" s="444"/>
      <c r="AH54" s="444"/>
      <c r="AI54" s="444"/>
      <c r="AJ54" s="444"/>
      <c r="AK54" s="444"/>
      <c r="AL54" s="444"/>
      <c r="AM54" s="444"/>
      <c r="AN54" s="444"/>
      <c r="AO54" s="444"/>
      <c r="AP54" s="444"/>
      <c r="AQ54" s="444"/>
      <c r="AR54" s="444"/>
      <c r="AS54" s="444"/>
      <c r="AT54" s="444"/>
      <c r="AU54" s="444"/>
      <c r="AV54" s="405"/>
      <c r="AW54" s="385">
        <f t="shared" si="19"/>
        <v>3.0845083691823944E-3</v>
      </c>
      <c r="AX54" s="167">
        <f t="shared" si="20"/>
        <v>0</v>
      </c>
    </row>
    <row r="55" spans="1:50">
      <c r="A55" s="94">
        <f t="shared" si="72"/>
        <v>30</v>
      </c>
      <c r="B55" s="86" t="s">
        <v>115</v>
      </c>
      <c r="C55" s="101"/>
      <c r="D55" s="102"/>
      <c r="E55" s="151">
        <f>'[40]TB, Balok, Kolom'!R2</f>
        <v>1525.64</v>
      </c>
      <c r="F55" s="140" t="s">
        <v>72</v>
      </c>
      <c r="G55" s="131">
        <v>9240</v>
      </c>
      <c r="H55" s="120">
        <v>2000</v>
      </c>
      <c r="I55" s="120">
        <f t="shared" si="62"/>
        <v>11240</v>
      </c>
      <c r="J55" s="120">
        <f t="shared" si="63"/>
        <v>14096913.600000001</v>
      </c>
      <c r="K55" s="120">
        <f t="shared" si="64"/>
        <v>3051280</v>
      </c>
      <c r="L55" s="120">
        <f t="shared" si="65"/>
        <v>17148193.600000001</v>
      </c>
      <c r="M55" s="114"/>
      <c r="N55" s="114"/>
      <c r="O55" s="114"/>
      <c r="P55" s="114">
        <v>1686</v>
      </c>
      <c r="Q55" s="166">
        <f t="shared" si="66"/>
        <v>12926</v>
      </c>
      <c r="R55" s="167">
        <f t="shared" si="67"/>
        <v>19720422.640000001</v>
      </c>
      <c r="S55" s="605">
        <f t="shared" si="32"/>
        <v>1.4024000971551293E-2</v>
      </c>
      <c r="T55" s="444"/>
      <c r="U55" s="444"/>
      <c r="V55" s="444"/>
      <c r="W55" s="444"/>
      <c r="X55" s="444"/>
      <c r="Y55" s="446">
        <f t="shared" si="55"/>
        <v>3.5060002428878231E-3</v>
      </c>
      <c r="Z55" s="445">
        <f t="shared" ref="Z55:AB55" si="74">Y55</f>
        <v>3.5060002428878231E-3</v>
      </c>
      <c r="AA55" s="445">
        <f t="shared" si="74"/>
        <v>3.5060002428878231E-3</v>
      </c>
      <c r="AB55" s="445">
        <f t="shared" si="74"/>
        <v>3.5060002428878231E-3</v>
      </c>
      <c r="AC55" s="444"/>
      <c r="AD55" s="444"/>
      <c r="AE55" s="444"/>
      <c r="AF55" s="444"/>
      <c r="AG55" s="444"/>
      <c r="AH55" s="444"/>
      <c r="AI55" s="444"/>
      <c r="AJ55" s="444"/>
      <c r="AK55" s="444"/>
      <c r="AL55" s="444"/>
      <c r="AM55" s="444"/>
      <c r="AN55" s="444"/>
      <c r="AO55" s="444"/>
      <c r="AP55" s="444"/>
      <c r="AQ55" s="444"/>
      <c r="AR55" s="444"/>
      <c r="AS55" s="444"/>
      <c r="AT55" s="444"/>
      <c r="AU55" s="444"/>
      <c r="AV55" s="405"/>
      <c r="AW55" s="385">
        <f t="shared" si="19"/>
        <v>1.4024000971551293E-2</v>
      </c>
      <c r="AX55" s="167">
        <f t="shared" si="20"/>
        <v>0</v>
      </c>
    </row>
    <row r="56" spans="1:50">
      <c r="A56" s="94">
        <f t="shared" si="72"/>
        <v>31</v>
      </c>
      <c r="B56" s="86" t="s">
        <v>116</v>
      </c>
      <c r="C56" s="101"/>
      <c r="D56" s="102"/>
      <c r="E56" s="151">
        <f>'[40]TB, Balok, Kolom'!R3</f>
        <v>641.28000000000009</v>
      </c>
      <c r="F56" s="140" t="s">
        <v>72</v>
      </c>
      <c r="G56" s="131">
        <v>9240</v>
      </c>
      <c r="H56" s="120">
        <v>2000</v>
      </c>
      <c r="I56" s="120">
        <f t="shared" si="62"/>
        <v>11240</v>
      </c>
      <c r="J56" s="120">
        <f t="shared" si="63"/>
        <v>5925427.2000000011</v>
      </c>
      <c r="K56" s="120">
        <f t="shared" si="64"/>
        <v>1282560.0000000002</v>
      </c>
      <c r="L56" s="120">
        <f t="shared" si="65"/>
        <v>7207987.2000000011</v>
      </c>
      <c r="M56" s="114"/>
      <c r="N56" s="114"/>
      <c r="O56" s="114"/>
      <c r="P56" s="114">
        <v>1686</v>
      </c>
      <c r="Q56" s="166">
        <f t="shared" si="66"/>
        <v>12926</v>
      </c>
      <c r="R56" s="167">
        <f t="shared" si="67"/>
        <v>8289185.2800000012</v>
      </c>
      <c r="S56" s="605">
        <f t="shared" si="32"/>
        <v>5.8947794650352726E-3</v>
      </c>
      <c r="T56" s="444"/>
      <c r="U56" s="444"/>
      <c r="V56" s="444"/>
      <c r="W56" s="444"/>
      <c r="X56" s="444"/>
      <c r="Y56" s="446">
        <f t="shared" si="55"/>
        <v>1.4736948662588182E-3</v>
      </c>
      <c r="Z56" s="445">
        <f t="shared" ref="Z56:AB56" si="75">Y56</f>
        <v>1.4736948662588182E-3</v>
      </c>
      <c r="AA56" s="445">
        <f t="shared" si="75"/>
        <v>1.4736948662588182E-3</v>
      </c>
      <c r="AB56" s="445">
        <f t="shared" si="75"/>
        <v>1.4736948662588182E-3</v>
      </c>
      <c r="AC56" s="444"/>
      <c r="AD56" s="444"/>
      <c r="AE56" s="444"/>
      <c r="AF56" s="444"/>
      <c r="AG56" s="444"/>
      <c r="AH56" s="444"/>
      <c r="AI56" s="444"/>
      <c r="AJ56" s="444"/>
      <c r="AK56" s="444"/>
      <c r="AL56" s="444"/>
      <c r="AM56" s="444"/>
      <c r="AN56" s="444"/>
      <c r="AO56" s="444"/>
      <c r="AP56" s="444"/>
      <c r="AQ56" s="444"/>
      <c r="AR56" s="444"/>
      <c r="AS56" s="444"/>
      <c r="AT56" s="444"/>
      <c r="AU56" s="444"/>
      <c r="AV56" s="405"/>
      <c r="AW56" s="385">
        <f t="shared" si="19"/>
        <v>5.8947794650352726E-3</v>
      </c>
      <c r="AX56" s="167">
        <f t="shared" si="20"/>
        <v>0</v>
      </c>
    </row>
    <row r="57" spans="1:50">
      <c r="A57" s="94">
        <f t="shared" si="72"/>
        <v>32</v>
      </c>
      <c r="B57" s="86" t="s">
        <v>117</v>
      </c>
      <c r="C57" s="101"/>
      <c r="D57" s="102"/>
      <c r="E57" s="151">
        <v>624.35</v>
      </c>
      <c r="F57" s="140" t="s">
        <v>72</v>
      </c>
      <c r="G57" s="131">
        <v>9240</v>
      </c>
      <c r="H57" s="120">
        <v>2000</v>
      </c>
      <c r="I57" s="120">
        <f t="shared" si="62"/>
        <v>11240</v>
      </c>
      <c r="J57" s="120">
        <f t="shared" si="63"/>
        <v>5768994</v>
      </c>
      <c r="K57" s="120">
        <f t="shared" si="64"/>
        <v>1248700</v>
      </c>
      <c r="L57" s="120">
        <f t="shared" si="65"/>
        <v>7017694</v>
      </c>
      <c r="M57" s="114"/>
      <c r="N57" s="114"/>
      <c r="O57" s="114"/>
      <c r="P57" s="114">
        <v>1686</v>
      </c>
      <c r="Q57" s="166">
        <f t="shared" si="66"/>
        <v>12926</v>
      </c>
      <c r="R57" s="167">
        <f t="shared" si="67"/>
        <v>8070348.1000000006</v>
      </c>
      <c r="S57" s="605">
        <f t="shared" si="32"/>
        <v>5.739155375178974E-3</v>
      </c>
      <c r="T57" s="444"/>
      <c r="U57" s="444"/>
      <c r="V57" s="444"/>
      <c r="W57" s="444"/>
      <c r="X57" s="444"/>
      <c r="Y57" s="446">
        <f t="shared" si="55"/>
        <v>1.4347888437947435E-3</v>
      </c>
      <c r="Z57" s="445">
        <f t="shared" ref="Z57:AB57" si="76">Y57</f>
        <v>1.4347888437947435E-3</v>
      </c>
      <c r="AA57" s="445">
        <f t="shared" si="76"/>
        <v>1.4347888437947435E-3</v>
      </c>
      <c r="AB57" s="445">
        <f t="shared" si="76"/>
        <v>1.4347888437947435E-3</v>
      </c>
      <c r="AC57" s="444"/>
      <c r="AD57" s="444"/>
      <c r="AE57" s="444"/>
      <c r="AF57" s="444"/>
      <c r="AG57" s="444"/>
      <c r="AH57" s="444"/>
      <c r="AI57" s="444"/>
      <c r="AJ57" s="444"/>
      <c r="AK57" s="444"/>
      <c r="AL57" s="444"/>
      <c r="AM57" s="444"/>
      <c r="AN57" s="444"/>
      <c r="AO57" s="444"/>
      <c r="AP57" s="444"/>
      <c r="AQ57" s="444"/>
      <c r="AR57" s="444"/>
      <c r="AS57" s="444"/>
      <c r="AT57" s="444"/>
      <c r="AU57" s="444"/>
      <c r="AV57" s="405"/>
      <c r="AW57" s="385">
        <f t="shared" si="19"/>
        <v>5.739155375178974E-3</v>
      </c>
      <c r="AX57" s="167">
        <f t="shared" si="20"/>
        <v>0</v>
      </c>
    </row>
    <row r="58" spans="1:50">
      <c r="A58" s="94">
        <f t="shared" si="72"/>
        <v>33</v>
      </c>
      <c r="B58" s="86" t="s">
        <v>118</v>
      </c>
      <c r="C58" s="101"/>
      <c r="D58" s="102"/>
      <c r="E58" s="151">
        <f>'[40]VOLUME BP &amp; GALIAN'!M61</f>
        <v>144.10400000000004</v>
      </c>
      <c r="F58" s="140" t="s">
        <v>14</v>
      </c>
      <c r="G58" s="131">
        <v>102000</v>
      </c>
      <c r="H58" s="120">
        <v>40000</v>
      </c>
      <c r="I58" s="120">
        <f t="shared" si="62"/>
        <v>142000</v>
      </c>
      <c r="J58" s="120">
        <f t="shared" si="63"/>
        <v>14698608.000000004</v>
      </c>
      <c r="K58" s="120">
        <f t="shared" si="64"/>
        <v>5764160.0000000019</v>
      </c>
      <c r="L58" s="120">
        <f t="shared" si="65"/>
        <v>20462768.000000007</v>
      </c>
      <c r="M58" s="114"/>
      <c r="N58" s="114"/>
      <c r="O58" s="114"/>
      <c r="P58" s="114">
        <v>21300</v>
      </c>
      <c r="Q58" s="166">
        <f t="shared" si="66"/>
        <v>163300</v>
      </c>
      <c r="R58" s="167">
        <f t="shared" si="67"/>
        <v>23532183.200000007</v>
      </c>
      <c r="S58" s="605">
        <f t="shared" si="32"/>
        <v>1.6734700167639161E-2</v>
      </c>
      <c r="T58" s="444"/>
      <c r="U58" s="444"/>
      <c r="V58" s="444"/>
      <c r="W58" s="444"/>
      <c r="X58" s="444"/>
      <c r="Y58" s="446">
        <f t="shared" si="55"/>
        <v>4.1836750419097903E-3</v>
      </c>
      <c r="Z58" s="445">
        <f t="shared" ref="Z58:AB58" si="77">Y58</f>
        <v>4.1836750419097903E-3</v>
      </c>
      <c r="AA58" s="445">
        <f t="shared" si="77"/>
        <v>4.1836750419097903E-3</v>
      </c>
      <c r="AB58" s="445">
        <f t="shared" si="77"/>
        <v>4.1836750419097903E-3</v>
      </c>
      <c r="AC58" s="444"/>
      <c r="AD58" s="444"/>
      <c r="AE58" s="444"/>
      <c r="AF58" s="444"/>
      <c r="AG58" s="444"/>
      <c r="AH58" s="444"/>
      <c r="AI58" s="444"/>
      <c r="AJ58" s="444"/>
      <c r="AK58" s="444"/>
      <c r="AL58" s="444"/>
      <c r="AM58" s="444"/>
      <c r="AN58" s="444"/>
      <c r="AO58" s="444"/>
      <c r="AP58" s="444"/>
      <c r="AQ58" s="444"/>
      <c r="AR58" s="444"/>
      <c r="AS58" s="444"/>
      <c r="AT58" s="444"/>
      <c r="AU58" s="444"/>
      <c r="AV58" s="405"/>
      <c r="AW58" s="385">
        <f t="shared" si="19"/>
        <v>1.6734700167639161E-2</v>
      </c>
      <c r="AX58" s="167">
        <f t="shared" si="20"/>
        <v>0</v>
      </c>
    </row>
    <row r="59" spans="1:50">
      <c r="A59" s="94">
        <f t="shared" si="72"/>
        <v>34</v>
      </c>
      <c r="B59" s="86" t="s">
        <v>119</v>
      </c>
      <c r="C59" s="101"/>
      <c r="D59" s="102"/>
      <c r="E59" s="151">
        <f>'[40]VOLUME BP &amp; GALIAN'!M76</f>
        <v>63.944999999999993</v>
      </c>
      <c r="F59" s="140" t="s">
        <v>14</v>
      </c>
      <c r="G59" s="131">
        <v>102000</v>
      </c>
      <c r="H59" s="120">
        <v>40000</v>
      </c>
      <c r="I59" s="120">
        <f t="shared" si="62"/>
        <v>142000</v>
      </c>
      <c r="J59" s="120">
        <f t="shared" si="63"/>
        <v>6522389.9999999991</v>
      </c>
      <c r="K59" s="120">
        <f t="shared" si="64"/>
        <v>2557799.9999999995</v>
      </c>
      <c r="L59" s="120">
        <f t="shared" si="65"/>
        <v>9080189.9999999981</v>
      </c>
      <c r="M59" s="114"/>
      <c r="N59" s="114"/>
      <c r="O59" s="114"/>
      <c r="P59" s="114">
        <v>21300</v>
      </c>
      <c r="Q59" s="166">
        <f t="shared" si="66"/>
        <v>163300</v>
      </c>
      <c r="R59" s="167">
        <f t="shared" si="67"/>
        <v>10442218.499999998</v>
      </c>
      <c r="S59" s="605">
        <f t="shared" si="32"/>
        <v>7.4258896506667798E-3</v>
      </c>
      <c r="T59" s="444"/>
      <c r="U59" s="444"/>
      <c r="V59" s="444"/>
      <c r="W59" s="444"/>
      <c r="X59" s="444"/>
      <c r="Y59" s="446">
        <f t="shared" si="55"/>
        <v>1.8564724126666949E-3</v>
      </c>
      <c r="Z59" s="445">
        <f t="shared" ref="Z59:AB59" si="78">Y59</f>
        <v>1.8564724126666949E-3</v>
      </c>
      <c r="AA59" s="445">
        <f t="shared" si="78"/>
        <v>1.8564724126666949E-3</v>
      </c>
      <c r="AB59" s="445">
        <f t="shared" si="78"/>
        <v>1.8564724126666949E-3</v>
      </c>
      <c r="AC59" s="444"/>
      <c r="AD59" s="444"/>
      <c r="AE59" s="444"/>
      <c r="AF59" s="444"/>
      <c r="AG59" s="444"/>
      <c r="AH59" s="444"/>
      <c r="AI59" s="444"/>
      <c r="AJ59" s="444"/>
      <c r="AK59" s="444"/>
      <c r="AL59" s="444"/>
      <c r="AM59" s="444"/>
      <c r="AN59" s="444"/>
      <c r="AO59" s="444"/>
      <c r="AP59" s="444"/>
      <c r="AQ59" s="444"/>
      <c r="AR59" s="444"/>
      <c r="AS59" s="444"/>
      <c r="AT59" s="444"/>
      <c r="AU59" s="444"/>
      <c r="AV59" s="405"/>
      <c r="AW59" s="385">
        <f t="shared" si="19"/>
        <v>7.4258896506667798E-3</v>
      </c>
      <c r="AX59" s="167">
        <f t="shared" si="20"/>
        <v>0</v>
      </c>
    </row>
    <row r="60" spans="1:50">
      <c r="A60" s="94">
        <f t="shared" si="72"/>
        <v>35</v>
      </c>
      <c r="B60" s="86" t="s">
        <v>120</v>
      </c>
      <c r="C60" s="101"/>
      <c r="D60" s="102"/>
      <c r="E60" s="151">
        <f>'[40]VOLUME BP &amp; GALIAN'!M109</f>
        <v>57.168000000000006</v>
      </c>
      <c r="F60" s="140" t="s">
        <v>14</v>
      </c>
      <c r="G60" s="131">
        <v>102000</v>
      </c>
      <c r="H60" s="120">
        <v>40000</v>
      </c>
      <c r="I60" s="120">
        <f t="shared" si="62"/>
        <v>142000</v>
      </c>
      <c r="J60" s="120">
        <f t="shared" si="63"/>
        <v>5831136.0000000009</v>
      </c>
      <c r="K60" s="120">
        <f t="shared" si="64"/>
        <v>2286720.0000000005</v>
      </c>
      <c r="L60" s="120">
        <f t="shared" si="65"/>
        <v>8117856.0000000019</v>
      </c>
      <c r="M60" s="114"/>
      <c r="N60" s="114"/>
      <c r="O60" s="114"/>
      <c r="P60" s="114">
        <v>21300</v>
      </c>
      <c r="Q60" s="166">
        <f t="shared" si="66"/>
        <v>163300</v>
      </c>
      <c r="R60" s="167">
        <f t="shared" si="67"/>
        <v>9335534.4000000004</v>
      </c>
      <c r="S60" s="605">
        <f t="shared" si="32"/>
        <v>6.6388812190056852E-3</v>
      </c>
      <c r="T60" s="444"/>
      <c r="U60" s="444"/>
      <c r="V60" s="444"/>
      <c r="W60" s="444"/>
      <c r="X60" s="444"/>
      <c r="Y60" s="446">
        <f t="shared" si="55"/>
        <v>1.6597203047514213E-3</v>
      </c>
      <c r="Z60" s="445">
        <f t="shared" ref="Z60:AB60" si="79">Y60</f>
        <v>1.6597203047514213E-3</v>
      </c>
      <c r="AA60" s="445">
        <f t="shared" si="79"/>
        <v>1.6597203047514213E-3</v>
      </c>
      <c r="AB60" s="445">
        <f t="shared" si="79"/>
        <v>1.6597203047514213E-3</v>
      </c>
      <c r="AC60" s="444"/>
      <c r="AD60" s="444"/>
      <c r="AE60" s="444"/>
      <c r="AF60" s="444"/>
      <c r="AG60" s="444"/>
      <c r="AH60" s="444"/>
      <c r="AI60" s="444"/>
      <c r="AJ60" s="444"/>
      <c r="AK60" s="444"/>
      <c r="AL60" s="444"/>
      <c r="AM60" s="444"/>
      <c r="AN60" s="444"/>
      <c r="AO60" s="444"/>
      <c r="AP60" s="444"/>
      <c r="AQ60" s="444"/>
      <c r="AR60" s="444"/>
      <c r="AS60" s="444"/>
      <c r="AT60" s="444"/>
      <c r="AU60" s="444"/>
      <c r="AV60" s="405"/>
      <c r="AW60" s="385">
        <f t="shared" si="19"/>
        <v>6.6388812190056852E-3</v>
      </c>
      <c r="AX60" s="167">
        <f t="shared" si="20"/>
        <v>0</v>
      </c>
    </row>
    <row r="61" spans="1:50">
      <c r="A61" s="94">
        <f t="shared" si="72"/>
        <v>36</v>
      </c>
      <c r="B61" s="86" t="s">
        <v>154</v>
      </c>
      <c r="C61" s="101"/>
      <c r="D61" s="102"/>
      <c r="E61" s="151">
        <f>'[40]VOLUME PC'!U5</f>
        <v>770.4</v>
      </c>
      <c r="F61" s="140" t="s">
        <v>72</v>
      </c>
      <c r="G61" s="131">
        <v>9240</v>
      </c>
      <c r="H61" s="120">
        <v>2000</v>
      </c>
      <c r="I61" s="120">
        <f t="shared" si="62"/>
        <v>11240</v>
      </c>
      <c r="J61" s="120">
        <f t="shared" si="63"/>
        <v>7118496</v>
      </c>
      <c r="K61" s="120">
        <f t="shared" si="64"/>
        <v>1540800</v>
      </c>
      <c r="L61" s="120">
        <f t="shared" si="65"/>
        <v>8659296</v>
      </c>
      <c r="M61" s="114"/>
      <c r="N61" s="114"/>
      <c r="O61" s="114"/>
      <c r="P61" s="114">
        <v>1686</v>
      </c>
      <c r="Q61" s="166">
        <f t="shared" si="66"/>
        <v>12926</v>
      </c>
      <c r="R61" s="167">
        <f t="shared" si="67"/>
        <v>9958190.4000000004</v>
      </c>
      <c r="S61" s="605">
        <f t="shared" si="32"/>
        <v>7.0816774261838415E-3</v>
      </c>
      <c r="T61" s="444"/>
      <c r="U61" s="444"/>
      <c r="V61" s="444"/>
      <c r="W61" s="444"/>
      <c r="X61" s="444"/>
      <c r="Y61" s="446">
        <f t="shared" si="55"/>
        <v>1.7704193565459604E-3</v>
      </c>
      <c r="Z61" s="445">
        <f t="shared" ref="Z61:AB61" si="80">Y61</f>
        <v>1.7704193565459604E-3</v>
      </c>
      <c r="AA61" s="445">
        <f t="shared" si="80"/>
        <v>1.7704193565459604E-3</v>
      </c>
      <c r="AB61" s="445">
        <f t="shared" si="80"/>
        <v>1.7704193565459604E-3</v>
      </c>
      <c r="AC61" s="444"/>
      <c r="AD61" s="444"/>
      <c r="AE61" s="444"/>
      <c r="AF61" s="444"/>
      <c r="AG61" s="444"/>
      <c r="AH61" s="444"/>
      <c r="AI61" s="444"/>
      <c r="AJ61" s="444"/>
      <c r="AK61" s="444"/>
      <c r="AL61" s="444"/>
      <c r="AM61" s="444"/>
      <c r="AN61" s="444"/>
      <c r="AO61" s="444"/>
      <c r="AP61" s="444"/>
      <c r="AQ61" s="444"/>
      <c r="AR61" s="444"/>
      <c r="AS61" s="444"/>
      <c r="AT61" s="444"/>
      <c r="AU61" s="444"/>
      <c r="AV61" s="405"/>
      <c r="AW61" s="385">
        <f t="shared" si="19"/>
        <v>7.0816774261838415E-3</v>
      </c>
      <c r="AX61" s="167">
        <f t="shared" si="20"/>
        <v>0</v>
      </c>
    </row>
    <row r="62" spans="1:50">
      <c r="A62" s="94">
        <f t="shared" si="72"/>
        <v>37</v>
      </c>
      <c r="B62" s="86" t="s">
        <v>155</v>
      </c>
      <c r="C62" s="101"/>
      <c r="D62" s="102"/>
      <c r="E62" s="151">
        <f>'[40]VOLUME PC'!I12</f>
        <v>22.68</v>
      </c>
      <c r="F62" s="140" t="s">
        <v>14</v>
      </c>
      <c r="G62" s="131">
        <v>102000</v>
      </c>
      <c r="H62" s="120">
        <v>40000</v>
      </c>
      <c r="I62" s="120">
        <f t="shared" si="62"/>
        <v>142000</v>
      </c>
      <c r="J62" s="120">
        <f t="shared" si="63"/>
        <v>2313360</v>
      </c>
      <c r="K62" s="120">
        <f t="shared" si="64"/>
        <v>907200</v>
      </c>
      <c r="L62" s="120">
        <f t="shared" si="65"/>
        <v>3220560</v>
      </c>
      <c r="M62" s="114"/>
      <c r="N62" s="114"/>
      <c r="O62" s="114"/>
      <c r="P62" s="114">
        <v>21300</v>
      </c>
      <c r="Q62" s="166">
        <f t="shared" si="66"/>
        <v>163300</v>
      </c>
      <c r="R62" s="167">
        <f t="shared" si="67"/>
        <v>3703644</v>
      </c>
      <c r="S62" s="605">
        <f t="shared" si="32"/>
        <v>2.6338130780690062E-3</v>
      </c>
      <c r="T62" s="444"/>
      <c r="U62" s="444"/>
      <c r="V62" s="444"/>
      <c r="W62" s="444"/>
      <c r="X62" s="444"/>
      <c r="Y62" s="446">
        <f t="shared" si="55"/>
        <v>6.5845326951725154E-4</v>
      </c>
      <c r="Z62" s="445">
        <f t="shared" ref="Z62:AB62" si="81">Y62</f>
        <v>6.5845326951725154E-4</v>
      </c>
      <c r="AA62" s="445">
        <f t="shared" si="81"/>
        <v>6.5845326951725154E-4</v>
      </c>
      <c r="AB62" s="445">
        <f t="shared" si="81"/>
        <v>6.5845326951725154E-4</v>
      </c>
      <c r="AC62" s="444"/>
      <c r="AD62" s="444"/>
      <c r="AE62" s="444"/>
      <c r="AF62" s="444"/>
      <c r="AG62" s="444"/>
      <c r="AH62" s="444"/>
      <c r="AI62" s="444"/>
      <c r="AJ62" s="444"/>
      <c r="AK62" s="444"/>
      <c r="AL62" s="444"/>
      <c r="AM62" s="444"/>
      <c r="AN62" s="444"/>
      <c r="AO62" s="444"/>
      <c r="AP62" s="444"/>
      <c r="AQ62" s="444"/>
      <c r="AR62" s="444"/>
      <c r="AS62" s="444"/>
      <c r="AT62" s="444"/>
      <c r="AU62" s="444"/>
      <c r="AV62" s="405"/>
      <c r="AW62" s="385">
        <f t="shared" si="19"/>
        <v>2.6338130780690062E-3</v>
      </c>
      <c r="AX62" s="167">
        <f t="shared" si="20"/>
        <v>0</v>
      </c>
    </row>
    <row r="63" spans="1:50" ht="16" thickBot="1">
      <c r="A63" s="94">
        <f t="shared" si="72"/>
        <v>38</v>
      </c>
      <c r="B63" s="93" t="s">
        <v>156</v>
      </c>
      <c r="C63" s="190"/>
      <c r="D63" s="191"/>
      <c r="E63" s="157">
        <f>'[40]VOLUME PC'!G18</f>
        <v>2.2679999999999998</v>
      </c>
      <c r="F63" s="158" t="s">
        <v>15</v>
      </c>
      <c r="G63" s="192">
        <v>715000</v>
      </c>
      <c r="H63" s="193">
        <v>300000</v>
      </c>
      <c r="I63" s="193">
        <f t="shared" si="62"/>
        <v>1015000</v>
      </c>
      <c r="J63" s="193">
        <f t="shared" si="63"/>
        <v>1621619.9999999998</v>
      </c>
      <c r="K63" s="193">
        <f t="shared" si="64"/>
        <v>680399.99999999988</v>
      </c>
      <c r="L63" s="193">
        <f t="shared" si="65"/>
        <v>2302019.9999999995</v>
      </c>
      <c r="M63" s="114"/>
      <c r="N63" s="114"/>
      <c r="O63" s="114"/>
      <c r="P63" s="114">
        <v>152250</v>
      </c>
      <c r="Q63" s="194">
        <f t="shared" si="66"/>
        <v>1167250</v>
      </c>
      <c r="R63" s="195">
        <f t="shared" si="67"/>
        <v>2647322.9999999995</v>
      </c>
      <c r="S63" s="605">
        <f t="shared" si="32"/>
        <v>1.8826199114366482E-3</v>
      </c>
      <c r="T63" s="444"/>
      <c r="U63" s="444"/>
      <c r="V63" s="444"/>
      <c r="W63" s="444"/>
      <c r="X63" s="444"/>
      <c r="Y63" s="446">
        <f t="shared" si="55"/>
        <v>4.7065497785916206E-4</v>
      </c>
      <c r="Z63" s="445">
        <f t="shared" ref="Z63:AB63" si="82">Y63</f>
        <v>4.7065497785916206E-4</v>
      </c>
      <c r="AA63" s="445">
        <f t="shared" si="82"/>
        <v>4.7065497785916206E-4</v>
      </c>
      <c r="AB63" s="445">
        <f t="shared" si="82"/>
        <v>4.7065497785916206E-4</v>
      </c>
      <c r="AC63" s="444"/>
      <c r="AD63" s="444"/>
      <c r="AE63" s="444"/>
      <c r="AF63" s="444"/>
      <c r="AG63" s="444"/>
      <c r="AH63" s="444"/>
      <c r="AI63" s="444"/>
      <c r="AJ63" s="444"/>
      <c r="AK63" s="444"/>
      <c r="AL63" s="444"/>
      <c r="AM63" s="444"/>
      <c r="AN63" s="444"/>
      <c r="AO63" s="444"/>
      <c r="AP63" s="444"/>
      <c r="AQ63" s="444"/>
      <c r="AR63" s="444"/>
      <c r="AS63" s="444"/>
      <c r="AT63" s="444"/>
      <c r="AU63" s="444"/>
      <c r="AV63" s="405"/>
      <c r="AW63" s="385">
        <f t="shared" si="19"/>
        <v>1.8826199114366482E-3</v>
      </c>
      <c r="AX63" s="167">
        <f t="shared" si="20"/>
        <v>0</v>
      </c>
    </row>
    <row r="64" spans="1:50">
      <c r="A64" s="196"/>
      <c r="B64" s="197" t="s">
        <v>149</v>
      </c>
      <c r="C64" s="198"/>
      <c r="D64" s="199"/>
      <c r="E64" s="200"/>
      <c r="F64" s="201"/>
      <c r="G64" s="202"/>
      <c r="H64" s="203"/>
      <c r="I64" s="203"/>
      <c r="J64" s="203"/>
      <c r="K64" s="203"/>
      <c r="L64" s="204">
        <f>SUM(L31:L49)</f>
        <v>50211370.575000003</v>
      </c>
      <c r="M64" s="205"/>
      <c r="N64" s="205"/>
      <c r="O64" s="205"/>
      <c r="P64" s="205"/>
      <c r="Q64" s="206" t="s">
        <v>178</v>
      </c>
      <c r="R64" s="207">
        <f>SUM(R31:R63)</f>
        <v>252368832.41375002</v>
      </c>
      <c r="T64" s="444"/>
      <c r="U64" s="444"/>
      <c r="V64" s="444"/>
      <c r="W64" s="444"/>
      <c r="X64" s="444"/>
      <c r="Y64" s="444"/>
      <c r="Z64" s="444"/>
      <c r="AA64" s="444"/>
      <c r="AB64" s="444"/>
      <c r="AC64" s="444"/>
      <c r="AD64" s="444"/>
      <c r="AE64" s="444"/>
      <c r="AF64" s="444"/>
      <c r="AG64" s="444"/>
      <c r="AH64" s="444"/>
      <c r="AI64" s="444"/>
      <c r="AJ64" s="444"/>
      <c r="AK64" s="444"/>
      <c r="AL64" s="444"/>
      <c r="AM64" s="444"/>
      <c r="AN64" s="444"/>
      <c r="AO64" s="444"/>
      <c r="AP64" s="444"/>
      <c r="AQ64" s="444"/>
      <c r="AR64" s="444"/>
      <c r="AS64" s="444"/>
      <c r="AT64" s="444"/>
      <c r="AU64" s="444"/>
      <c r="AV64" s="405"/>
      <c r="AW64" s="385">
        <f t="shared" si="19"/>
        <v>0</v>
      </c>
      <c r="AX64" s="167">
        <f t="shared" si="20"/>
        <v>0</v>
      </c>
    </row>
    <row r="65" spans="1:50">
      <c r="A65" s="63"/>
      <c r="B65" s="63"/>
      <c r="C65" s="61"/>
      <c r="D65" s="64"/>
      <c r="E65" s="147"/>
      <c r="F65" s="148"/>
      <c r="G65" s="134"/>
      <c r="H65" s="130"/>
      <c r="I65" s="119"/>
      <c r="J65" s="119"/>
      <c r="K65" s="119"/>
      <c r="L65" s="119"/>
      <c r="Q65" s="165"/>
      <c r="R65" s="165"/>
      <c r="T65" s="444"/>
      <c r="U65" s="444"/>
      <c r="V65" s="444"/>
      <c r="W65" s="444"/>
      <c r="X65" s="444"/>
      <c r="Y65" s="444"/>
      <c r="Z65" s="444"/>
      <c r="AA65" s="444"/>
      <c r="AB65" s="444"/>
      <c r="AC65" s="444"/>
      <c r="AD65" s="444"/>
      <c r="AE65" s="444"/>
      <c r="AF65" s="444"/>
      <c r="AG65" s="444"/>
      <c r="AH65" s="444"/>
      <c r="AI65" s="444"/>
      <c r="AJ65" s="444"/>
      <c r="AK65" s="444"/>
      <c r="AL65" s="444"/>
      <c r="AM65" s="444"/>
      <c r="AN65" s="444"/>
      <c r="AO65" s="444"/>
      <c r="AP65" s="444"/>
      <c r="AQ65" s="444"/>
      <c r="AR65" s="444"/>
      <c r="AS65" s="444"/>
      <c r="AT65" s="444"/>
      <c r="AU65" s="444"/>
      <c r="AV65" s="405"/>
      <c r="AW65" s="385">
        <f t="shared" si="19"/>
        <v>0</v>
      </c>
      <c r="AX65" s="167">
        <f t="shared" si="20"/>
        <v>0</v>
      </c>
    </row>
    <row r="66" spans="1:50">
      <c r="A66" s="63"/>
      <c r="B66" s="63"/>
      <c r="C66" s="61"/>
      <c r="D66" s="64"/>
      <c r="E66" s="137"/>
      <c r="F66" s="138"/>
      <c r="G66" s="127"/>
      <c r="H66" s="116"/>
      <c r="I66" s="116"/>
      <c r="J66" s="116"/>
      <c r="K66" s="116"/>
      <c r="L66" s="116"/>
      <c r="Q66" s="165"/>
      <c r="R66" s="165"/>
      <c r="T66" s="444"/>
      <c r="U66" s="444"/>
      <c r="V66" s="444"/>
      <c r="W66" s="444"/>
      <c r="X66" s="444"/>
      <c r="Y66" s="444"/>
      <c r="Z66" s="444"/>
      <c r="AA66" s="444"/>
      <c r="AB66" s="444"/>
      <c r="AC66" s="444"/>
      <c r="AD66" s="444"/>
      <c r="AE66" s="444"/>
      <c r="AF66" s="444"/>
      <c r="AG66" s="444"/>
      <c r="AH66" s="444"/>
      <c r="AI66" s="444"/>
      <c r="AJ66" s="444"/>
      <c r="AK66" s="444"/>
      <c r="AL66" s="444"/>
      <c r="AM66" s="444"/>
      <c r="AN66" s="444"/>
      <c r="AO66" s="444"/>
      <c r="AP66" s="444"/>
      <c r="AQ66" s="444"/>
      <c r="AR66" s="444"/>
      <c r="AS66" s="444"/>
      <c r="AT66" s="444"/>
      <c r="AU66" s="444"/>
      <c r="AV66" s="405"/>
      <c r="AW66" s="385">
        <f t="shared" si="19"/>
        <v>0</v>
      </c>
      <c r="AX66" s="167">
        <f t="shared" si="20"/>
        <v>0</v>
      </c>
    </row>
    <row r="67" spans="1:50">
      <c r="A67" s="85" t="s">
        <v>6</v>
      </c>
      <c r="B67" s="95" t="s">
        <v>7</v>
      </c>
      <c r="C67" s="162"/>
      <c r="D67" s="163"/>
      <c r="E67" s="149"/>
      <c r="F67" s="150"/>
      <c r="G67" s="131"/>
      <c r="H67" s="120"/>
      <c r="I67" s="120"/>
      <c r="J67" s="120"/>
      <c r="K67" s="120"/>
      <c r="L67" s="120"/>
      <c r="Q67" s="165"/>
      <c r="R67" s="165"/>
      <c r="T67" s="444"/>
      <c r="U67" s="444"/>
      <c r="V67" s="444"/>
      <c r="W67" s="444"/>
      <c r="X67" s="444"/>
      <c r="Y67" s="444"/>
      <c r="Z67" s="444"/>
      <c r="AA67" s="444"/>
      <c r="AB67" s="444"/>
      <c r="AC67" s="444"/>
      <c r="AD67" s="444"/>
      <c r="AE67" s="444"/>
      <c r="AF67" s="444"/>
      <c r="AG67" s="444"/>
      <c r="AH67" s="444"/>
      <c r="AI67" s="444"/>
      <c r="AJ67" s="444"/>
      <c r="AK67" s="444"/>
      <c r="AL67" s="444"/>
      <c r="AM67" s="444"/>
      <c r="AN67" s="444"/>
      <c r="AO67" s="444"/>
      <c r="AP67" s="444"/>
      <c r="AQ67" s="444"/>
      <c r="AR67" s="444"/>
      <c r="AS67" s="444"/>
      <c r="AT67" s="444"/>
      <c r="AU67" s="444"/>
      <c r="AV67" s="405"/>
      <c r="AW67" s="385">
        <f t="shared" si="19"/>
        <v>0</v>
      </c>
      <c r="AX67" s="167">
        <f t="shared" si="20"/>
        <v>0</v>
      </c>
    </row>
    <row r="68" spans="1:50">
      <c r="A68" s="94">
        <f>A63+1</f>
        <v>39</v>
      </c>
      <c r="B68" s="86" t="s">
        <v>127</v>
      </c>
      <c r="C68" s="101"/>
      <c r="D68" s="102"/>
      <c r="E68" s="151">
        <f>'[40]TB, Balok, Kolom'!N28</f>
        <v>1062.5</v>
      </c>
      <c r="F68" s="140" t="s">
        <v>72</v>
      </c>
      <c r="G68" s="131">
        <v>9240</v>
      </c>
      <c r="H68" s="120">
        <v>2000</v>
      </c>
      <c r="I68" s="120">
        <f t="shared" ref="I68:I88" si="83">H68+G68</f>
        <v>11240</v>
      </c>
      <c r="J68" s="120">
        <f t="shared" ref="J68:J88" si="84">E68*G68</f>
        <v>9817500</v>
      </c>
      <c r="K68" s="120">
        <f t="shared" ref="K68:K88" si="85">E68*H68</f>
        <v>2125000</v>
      </c>
      <c r="L68" s="120">
        <f t="shared" ref="L68:L88" si="86">K68+J68</f>
        <v>11942500</v>
      </c>
      <c r="M68" s="114"/>
      <c r="N68" s="114"/>
      <c r="O68" s="114"/>
      <c r="P68" s="114">
        <v>1686</v>
      </c>
      <c r="Q68" s="166">
        <f t="shared" ref="Q68:Q88" si="87">I68+M68+N68+O68+P68</f>
        <v>12926</v>
      </c>
      <c r="R68" s="167">
        <f t="shared" ref="R68:R88" si="88">Q68*E68</f>
        <v>13733875</v>
      </c>
      <c r="S68" s="605">
        <f t="shared" ref="S68:S88" si="89">R68/$R$6</f>
        <v>9.7667215281935765E-3</v>
      </c>
      <c r="T68" s="444"/>
      <c r="U68" s="444"/>
      <c r="V68" s="444"/>
      <c r="W68" s="444"/>
      <c r="X68" s="444"/>
      <c r="Y68" s="444"/>
      <c r="Z68" s="444"/>
      <c r="AA68" s="444"/>
      <c r="AB68" s="444"/>
      <c r="AC68" s="446">
        <f>S68/3</f>
        <v>3.255573842731192E-3</v>
      </c>
      <c r="AD68" s="445">
        <f>AC68</f>
        <v>3.255573842731192E-3</v>
      </c>
      <c r="AE68" s="445">
        <f>AD68</f>
        <v>3.255573842731192E-3</v>
      </c>
      <c r="AF68" s="444"/>
      <c r="AG68" s="444"/>
      <c r="AH68" s="444"/>
      <c r="AI68" s="444"/>
      <c r="AJ68" s="444"/>
      <c r="AK68" s="444"/>
      <c r="AL68" s="444"/>
      <c r="AM68" s="444"/>
      <c r="AN68" s="444"/>
      <c r="AO68" s="444"/>
      <c r="AP68" s="444"/>
      <c r="AQ68" s="444"/>
      <c r="AR68" s="444"/>
      <c r="AS68" s="444"/>
      <c r="AT68" s="444"/>
      <c r="AU68" s="444"/>
      <c r="AV68" s="405"/>
      <c r="AW68" s="385">
        <f t="shared" si="19"/>
        <v>9.7667215281935765E-3</v>
      </c>
      <c r="AX68" s="167">
        <f t="shared" si="20"/>
        <v>0</v>
      </c>
    </row>
    <row r="69" spans="1:50">
      <c r="A69" s="94">
        <f t="shared" ref="A69:A88" si="90">A68+1</f>
        <v>40</v>
      </c>
      <c r="B69" s="86" t="s">
        <v>128</v>
      </c>
      <c r="C69" s="101"/>
      <c r="D69" s="102"/>
      <c r="E69" s="151">
        <f>'[40]TB, Balok, Kolom'!O28</f>
        <v>144.47999999999999</v>
      </c>
      <c r="F69" s="140" t="s">
        <v>14</v>
      </c>
      <c r="G69" s="131">
        <v>102000</v>
      </c>
      <c r="H69" s="120">
        <v>40000</v>
      </c>
      <c r="I69" s="120">
        <f t="shared" si="83"/>
        <v>142000</v>
      </c>
      <c r="J69" s="120">
        <f t="shared" si="84"/>
        <v>14736959.999999998</v>
      </c>
      <c r="K69" s="120">
        <f t="shared" si="85"/>
        <v>5779200</v>
      </c>
      <c r="L69" s="120">
        <f t="shared" si="86"/>
        <v>20516160</v>
      </c>
      <c r="M69" s="114"/>
      <c r="N69" s="114"/>
      <c r="O69" s="114"/>
      <c r="P69" s="114">
        <v>21300</v>
      </c>
      <c r="Q69" s="166">
        <f t="shared" si="87"/>
        <v>163300</v>
      </c>
      <c r="R69" s="167">
        <f t="shared" si="88"/>
        <v>23593584</v>
      </c>
      <c r="S69" s="605">
        <f t="shared" si="89"/>
        <v>1.6778364793624777E-2</v>
      </c>
      <c r="T69" s="444"/>
      <c r="U69" s="444"/>
      <c r="V69" s="444"/>
      <c r="W69" s="444"/>
      <c r="X69" s="444"/>
      <c r="Y69" s="444"/>
      <c r="Z69" s="444"/>
      <c r="AA69" s="444"/>
      <c r="AB69" s="444"/>
      <c r="AC69" s="446">
        <f t="shared" ref="AC69:AC73" si="91">S69/3</f>
        <v>5.5927882645415922E-3</v>
      </c>
      <c r="AD69" s="445">
        <f t="shared" ref="AD69:AE69" si="92">AC69</f>
        <v>5.5927882645415922E-3</v>
      </c>
      <c r="AE69" s="445">
        <f t="shared" si="92"/>
        <v>5.5927882645415922E-3</v>
      </c>
      <c r="AF69" s="444"/>
      <c r="AG69" s="444"/>
      <c r="AH69" s="444"/>
      <c r="AI69" s="444"/>
      <c r="AJ69" s="444"/>
      <c r="AK69" s="444"/>
      <c r="AL69" s="444"/>
      <c r="AM69" s="444"/>
      <c r="AN69" s="444"/>
      <c r="AO69" s="444"/>
      <c r="AP69" s="444"/>
      <c r="AQ69" s="444"/>
      <c r="AR69" s="444"/>
      <c r="AS69" s="444"/>
      <c r="AT69" s="444"/>
      <c r="AU69" s="444"/>
      <c r="AV69" s="405"/>
      <c r="AW69" s="385">
        <f t="shared" si="19"/>
        <v>1.6778364793624777E-2</v>
      </c>
      <c r="AX69" s="167">
        <f t="shared" si="20"/>
        <v>0</v>
      </c>
    </row>
    <row r="70" spans="1:50">
      <c r="A70" s="94">
        <f t="shared" si="90"/>
        <v>41</v>
      </c>
      <c r="B70" s="86" t="s">
        <v>139</v>
      </c>
      <c r="C70" s="101"/>
      <c r="D70" s="102"/>
      <c r="E70" s="151">
        <f>'[40]TB, Balok, Kolom'!P28</f>
        <v>6.5519999999999996</v>
      </c>
      <c r="F70" s="140" t="s">
        <v>15</v>
      </c>
      <c r="G70" s="131">
        <f>G73</f>
        <v>940500</v>
      </c>
      <c r="H70" s="120">
        <v>300000</v>
      </c>
      <c r="I70" s="120">
        <f t="shared" si="83"/>
        <v>1240500</v>
      </c>
      <c r="J70" s="120">
        <f t="shared" si="84"/>
        <v>6162156</v>
      </c>
      <c r="K70" s="120">
        <f t="shared" si="85"/>
        <v>1965599.9999999998</v>
      </c>
      <c r="L70" s="120">
        <f t="shared" si="86"/>
        <v>8127756</v>
      </c>
      <c r="M70" s="114"/>
      <c r="N70" s="114"/>
      <c r="O70" s="114"/>
      <c r="P70" s="114">
        <v>186075</v>
      </c>
      <c r="Q70" s="166">
        <f t="shared" si="87"/>
        <v>1426575</v>
      </c>
      <c r="R70" s="167">
        <f t="shared" si="88"/>
        <v>9346919.3999999985</v>
      </c>
      <c r="S70" s="605">
        <f t="shared" si="89"/>
        <v>6.6469775592300183E-3</v>
      </c>
      <c r="T70" s="444"/>
      <c r="U70" s="444"/>
      <c r="V70" s="444"/>
      <c r="W70" s="444"/>
      <c r="X70" s="444"/>
      <c r="Y70" s="444"/>
      <c r="Z70" s="444"/>
      <c r="AA70" s="444"/>
      <c r="AB70" s="444"/>
      <c r="AC70" s="446">
        <f t="shared" si="91"/>
        <v>2.215659186410006E-3</v>
      </c>
      <c r="AD70" s="445">
        <f t="shared" ref="AD70:AE70" si="93">AC70</f>
        <v>2.215659186410006E-3</v>
      </c>
      <c r="AE70" s="445">
        <f t="shared" si="93"/>
        <v>2.215659186410006E-3</v>
      </c>
      <c r="AF70" s="444"/>
      <c r="AG70" s="444"/>
      <c r="AH70" s="444"/>
      <c r="AI70" s="444"/>
      <c r="AJ70" s="444"/>
      <c r="AK70" s="444"/>
      <c r="AL70" s="444"/>
      <c r="AM70" s="444"/>
      <c r="AN70" s="444"/>
      <c r="AO70" s="444"/>
      <c r="AP70" s="444"/>
      <c r="AQ70" s="444"/>
      <c r="AR70" s="444"/>
      <c r="AS70" s="444"/>
      <c r="AT70" s="444"/>
      <c r="AU70" s="444"/>
      <c r="AV70" s="405"/>
      <c r="AW70" s="385">
        <f t="shared" si="19"/>
        <v>6.6469775592300183E-3</v>
      </c>
      <c r="AX70" s="167">
        <f t="shared" si="20"/>
        <v>0</v>
      </c>
    </row>
    <row r="71" spans="1:50">
      <c r="A71" s="94">
        <f t="shared" si="90"/>
        <v>42</v>
      </c>
      <c r="B71" s="86" t="s">
        <v>129</v>
      </c>
      <c r="C71" s="101"/>
      <c r="D71" s="102"/>
      <c r="E71" s="151">
        <f>'[40]TB, Balok, Kolom'!N29</f>
        <v>387.5</v>
      </c>
      <c r="F71" s="140" t="s">
        <v>72</v>
      </c>
      <c r="G71" s="131">
        <v>9240</v>
      </c>
      <c r="H71" s="120">
        <v>2000</v>
      </c>
      <c r="I71" s="120">
        <f t="shared" si="83"/>
        <v>11240</v>
      </c>
      <c r="J71" s="120">
        <f t="shared" si="84"/>
        <v>3580500</v>
      </c>
      <c r="K71" s="120">
        <f t="shared" si="85"/>
        <v>775000</v>
      </c>
      <c r="L71" s="120">
        <f t="shared" si="86"/>
        <v>4355500</v>
      </c>
      <c r="M71" s="114"/>
      <c r="N71" s="114"/>
      <c r="O71" s="114"/>
      <c r="P71" s="114">
        <v>1686</v>
      </c>
      <c r="Q71" s="166">
        <f t="shared" si="87"/>
        <v>12926</v>
      </c>
      <c r="R71" s="167">
        <f t="shared" si="88"/>
        <v>5008825</v>
      </c>
      <c r="S71" s="605">
        <f t="shared" si="89"/>
        <v>3.5619807926353044E-3</v>
      </c>
      <c r="T71" s="444"/>
      <c r="U71" s="444"/>
      <c r="V71" s="444"/>
      <c r="W71" s="444"/>
      <c r="X71" s="444"/>
      <c r="Y71" s="444"/>
      <c r="Z71" s="444"/>
      <c r="AA71" s="444"/>
      <c r="AB71" s="444"/>
      <c r="AC71" s="446">
        <f t="shared" si="91"/>
        <v>1.1873269308784347E-3</v>
      </c>
      <c r="AD71" s="445">
        <f t="shared" ref="AD71:AE71" si="94">AC71</f>
        <v>1.1873269308784347E-3</v>
      </c>
      <c r="AE71" s="445">
        <f t="shared" si="94"/>
        <v>1.1873269308784347E-3</v>
      </c>
      <c r="AF71" s="444"/>
      <c r="AG71" s="444"/>
      <c r="AH71" s="444"/>
      <c r="AI71" s="444"/>
      <c r="AJ71" s="444"/>
      <c r="AK71" s="444"/>
      <c r="AL71" s="444"/>
      <c r="AM71" s="444"/>
      <c r="AN71" s="444"/>
      <c r="AO71" s="444"/>
      <c r="AP71" s="444"/>
      <c r="AQ71" s="444"/>
      <c r="AR71" s="444"/>
      <c r="AS71" s="444"/>
      <c r="AT71" s="444"/>
      <c r="AU71" s="444"/>
      <c r="AV71" s="405"/>
      <c r="AW71" s="385">
        <f t="shared" si="19"/>
        <v>3.5619807926353039E-3</v>
      </c>
      <c r="AX71" s="167">
        <f t="shared" si="20"/>
        <v>0</v>
      </c>
    </row>
    <row r="72" spans="1:50">
      <c r="A72" s="94">
        <f t="shared" si="90"/>
        <v>43</v>
      </c>
      <c r="B72" s="86" t="s">
        <v>130</v>
      </c>
      <c r="C72" s="101"/>
      <c r="D72" s="102"/>
      <c r="E72" s="151">
        <f>'[40]TB, Balok, Kolom'!O29</f>
        <v>69.599999999999994</v>
      </c>
      <c r="F72" s="140" t="s">
        <v>14</v>
      </c>
      <c r="G72" s="131">
        <v>102000</v>
      </c>
      <c r="H72" s="120">
        <v>40000</v>
      </c>
      <c r="I72" s="120">
        <f t="shared" si="83"/>
        <v>142000</v>
      </c>
      <c r="J72" s="120">
        <f t="shared" si="84"/>
        <v>7099199.9999999991</v>
      </c>
      <c r="K72" s="120">
        <f t="shared" si="85"/>
        <v>2784000</v>
      </c>
      <c r="L72" s="120">
        <f t="shared" si="86"/>
        <v>9883200</v>
      </c>
      <c r="M72" s="114"/>
      <c r="N72" s="114"/>
      <c r="O72" s="114"/>
      <c r="P72" s="114">
        <v>21300</v>
      </c>
      <c r="Q72" s="166">
        <f t="shared" si="87"/>
        <v>163300</v>
      </c>
      <c r="R72" s="167">
        <f t="shared" si="88"/>
        <v>11365680</v>
      </c>
      <c r="S72" s="605">
        <f t="shared" si="89"/>
        <v>8.0826009803175846E-3</v>
      </c>
      <c r="T72" s="444"/>
      <c r="U72" s="444"/>
      <c r="V72" s="444"/>
      <c r="W72" s="444"/>
      <c r="X72" s="444"/>
      <c r="Y72" s="444"/>
      <c r="Z72" s="444"/>
      <c r="AA72" s="444"/>
      <c r="AB72" s="444"/>
      <c r="AC72" s="446">
        <f t="shared" si="91"/>
        <v>2.6942003267725282E-3</v>
      </c>
      <c r="AD72" s="445">
        <f t="shared" ref="AD72:AE72" si="95">AC72</f>
        <v>2.6942003267725282E-3</v>
      </c>
      <c r="AE72" s="445">
        <f t="shared" si="95"/>
        <v>2.6942003267725282E-3</v>
      </c>
      <c r="AF72" s="444"/>
      <c r="AG72" s="444"/>
      <c r="AH72" s="444"/>
      <c r="AI72" s="444"/>
      <c r="AJ72" s="444"/>
      <c r="AK72" s="444"/>
      <c r="AL72" s="444"/>
      <c r="AM72" s="444"/>
      <c r="AN72" s="444"/>
      <c r="AO72" s="444"/>
      <c r="AP72" s="444"/>
      <c r="AQ72" s="444"/>
      <c r="AR72" s="444"/>
      <c r="AS72" s="444"/>
      <c r="AT72" s="444"/>
      <c r="AU72" s="444"/>
      <c r="AV72" s="405"/>
      <c r="AW72" s="385">
        <f t="shared" si="19"/>
        <v>8.0826009803175846E-3</v>
      </c>
      <c r="AX72" s="167">
        <f t="shared" si="20"/>
        <v>0</v>
      </c>
    </row>
    <row r="73" spans="1:50">
      <c r="A73" s="94">
        <f t="shared" si="90"/>
        <v>44</v>
      </c>
      <c r="B73" s="86" t="s">
        <v>140</v>
      </c>
      <c r="C73" s="101"/>
      <c r="D73" s="102"/>
      <c r="E73" s="151">
        <f>'[40]TB, Balok, Kolom'!P29</f>
        <v>3.5100000000000002</v>
      </c>
      <c r="F73" s="140" t="s">
        <v>15</v>
      </c>
      <c r="G73" s="131">
        <f>855000+(855000*10%)</f>
        <v>940500</v>
      </c>
      <c r="H73" s="120">
        <v>300000</v>
      </c>
      <c r="I73" s="120">
        <f t="shared" si="83"/>
        <v>1240500</v>
      </c>
      <c r="J73" s="120">
        <f t="shared" si="84"/>
        <v>3301155</v>
      </c>
      <c r="K73" s="120">
        <f t="shared" si="85"/>
        <v>1053000</v>
      </c>
      <c r="L73" s="120">
        <f t="shared" si="86"/>
        <v>4354155</v>
      </c>
      <c r="M73" s="114"/>
      <c r="N73" s="114"/>
      <c r="O73" s="114"/>
      <c r="P73" s="114">
        <v>186075</v>
      </c>
      <c r="Q73" s="166">
        <f t="shared" si="87"/>
        <v>1426575</v>
      </c>
      <c r="R73" s="167">
        <f t="shared" si="88"/>
        <v>5007278.25</v>
      </c>
      <c r="S73" s="605">
        <f t="shared" si="89"/>
        <v>3.5608808353017963E-3</v>
      </c>
      <c r="T73" s="444"/>
      <c r="U73" s="444"/>
      <c r="V73" s="444"/>
      <c r="W73" s="444"/>
      <c r="X73" s="444"/>
      <c r="Y73" s="444"/>
      <c r="Z73" s="444"/>
      <c r="AA73" s="444"/>
      <c r="AB73" s="444"/>
      <c r="AC73" s="446">
        <f t="shared" si="91"/>
        <v>1.1869602784339321E-3</v>
      </c>
      <c r="AD73" s="445">
        <f t="shared" ref="AD73:AE73" si="96">AC73</f>
        <v>1.1869602784339321E-3</v>
      </c>
      <c r="AE73" s="445">
        <f t="shared" si="96"/>
        <v>1.1869602784339321E-3</v>
      </c>
      <c r="AF73" s="444"/>
      <c r="AG73" s="444"/>
      <c r="AH73" s="444"/>
      <c r="AI73" s="444"/>
      <c r="AJ73" s="444"/>
      <c r="AK73" s="444"/>
      <c r="AL73" s="444"/>
      <c r="AM73" s="444"/>
      <c r="AN73" s="444"/>
      <c r="AO73" s="444"/>
      <c r="AP73" s="444"/>
      <c r="AQ73" s="444"/>
      <c r="AR73" s="444"/>
      <c r="AS73" s="444"/>
      <c r="AT73" s="444"/>
      <c r="AU73" s="444"/>
      <c r="AV73" s="405"/>
      <c r="AW73" s="385">
        <f t="shared" si="19"/>
        <v>3.5608808353017963E-3</v>
      </c>
      <c r="AX73" s="167">
        <f t="shared" si="20"/>
        <v>0</v>
      </c>
    </row>
    <row r="74" spans="1:50">
      <c r="A74" s="94">
        <f t="shared" si="90"/>
        <v>45</v>
      </c>
      <c r="B74" s="86" t="s">
        <v>131</v>
      </c>
      <c r="C74" s="101"/>
      <c r="D74" s="102"/>
      <c r="E74" s="151">
        <f>'[40]TB, Balok, Kolom'!S7</f>
        <v>595.50800000000004</v>
      </c>
      <c r="F74" s="140" t="s">
        <v>72</v>
      </c>
      <c r="G74" s="131">
        <v>9240</v>
      </c>
      <c r="H74" s="120">
        <v>2000</v>
      </c>
      <c r="I74" s="120">
        <f t="shared" si="83"/>
        <v>11240</v>
      </c>
      <c r="J74" s="120">
        <f t="shared" si="84"/>
        <v>5502493.9199999999</v>
      </c>
      <c r="K74" s="120">
        <f t="shared" si="85"/>
        <v>1191016</v>
      </c>
      <c r="L74" s="120">
        <f t="shared" si="86"/>
        <v>6693509.9199999999</v>
      </c>
      <c r="M74" s="114"/>
      <c r="N74" s="114"/>
      <c r="O74" s="114"/>
      <c r="P74" s="114">
        <v>1686</v>
      </c>
      <c r="Q74" s="166">
        <f t="shared" si="87"/>
        <v>12926</v>
      </c>
      <c r="R74" s="167">
        <f t="shared" si="88"/>
        <v>7697536.4080000008</v>
      </c>
      <c r="S74" s="605">
        <f t="shared" si="89"/>
        <v>5.4740336977049421E-3</v>
      </c>
      <c r="T74" s="444"/>
      <c r="U74" s="444"/>
      <c r="V74" s="444"/>
      <c r="W74" s="444"/>
      <c r="X74" s="444"/>
      <c r="Y74" s="444"/>
      <c r="Z74" s="444"/>
      <c r="AA74" s="444"/>
      <c r="AB74" s="444"/>
      <c r="AC74" s="447"/>
      <c r="AD74" s="448"/>
      <c r="AE74" s="448"/>
      <c r="AF74" s="446">
        <f>S74/5</f>
        <v>1.0948067395409884E-3</v>
      </c>
      <c r="AG74" s="445">
        <f>AF74</f>
        <v>1.0948067395409884E-3</v>
      </c>
      <c r="AH74" s="445">
        <f t="shared" ref="AH74:AJ74" si="97">AG74</f>
        <v>1.0948067395409884E-3</v>
      </c>
      <c r="AI74" s="445">
        <f t="shared" si="97"/>
        <v>1.0948067395409884E-3</v>
      </c>
      <c r="AJ74" s="445">
        <f t="shared" si="97"/>
        <v>1.0948067395409884E-3</v>
      </c>
      <c r="AK74" s="444"/>
      <c r="AL74" s="444"/>
      <c r="AM74" s="444"/>
      <c r="AN74" s="444"/>
      <c r="AO74" s="444"/>
      <c r="AP74" s="444"/>
      <c r="AQ74" s="444"/>
      <c r="AR74" s="444"/>
      <c r="AS74" s="444"/>
      <c r="AT74" s="444"/>
      <c r="AU74" s="444"/>
      <c r="AV74" s="405"/>
      <c r="AW74" s="385">
        <f t="shared" si="19"/>
        <v>5.4740336977049421E-3</v>
      </c>
      <c r="AX74" s="167">
        <f t="shared" si="20"/>
        <v>0</v>
      </c>
    </row>
    <row r="75" spans="1:50">
      <c r="A75" s="94">
        <f t="shared" si="90"/>
        <v>46</v>
      </c>
      <c r="B75" s="86" t="s">
        <v>132</v>
      </c>
      <c r="C75" s="101"/>
      <c r="D75" s="102"/>
      <c r="E75" s="151">
        <f>'[40]TB, Balok, Kolom'!P43</f>
        <v>58.520000000000017</v>
      </c>
      <c r="F75" s="140" t="s">
        <v>14</v>
      </c>
      <c r="G75" s="131">
        <v>102000</v>
      </c>
      <c r="H75" s="120">
        <v>40000</v>
      </c>
      <c r="I75" s="120">
        <f t="shared" si="83"/>
        <v>142000</v>
      </c>
      <c r="J75" s="120">
        <f t="shared" si="84"/>
        <v>5969040.0000000019</v>
      </c>
      <c r="K75" s="120">
        <f t="shared" si="85"/>
        <v>2340800.0000000005</v>
      </c>
      <c r="L75" s="120">
        <f t="shared" si="86"/>
        <v>8309840.0000000019</v>
      </c>
      <c r="M75" s="114"/>
      <c r="N75" s="114"/>
      <c r="O75" s="114"/>
      <c r="P75" s="114">
        <v>21300</v>
      </c>
      <c r="Q75" s="166">
        <f t="shared" si="87"/>
        <v>163300</v>
      </c>
      <c r="R75" s="167">
        <f t="shared" si="88"/>
        <v>9556316.0000000037</v>
      </c>
      <c r="S75" s="605">
        <f t="shared" si="89"/>
        <v>6.7958880656348456E-3</v>
      </c>
      <c r="T75" s="444"/>
      <c r="U75" s="444"/>
      <c r="V75" s="444"/>
      <c r="W75" s="444"/>
      <c r="X75" s="444"/>
      <c r="Y75" s="444"/>
      <c r="Z75" s="444"/>
      <c r="AA75" s="444"/>
      <c r="AB75" s="444"/>
      <c r="AC75" s="444"/>
      <c r="AD75" s="444"/>
      <c r="AE75" s="444"/>
      <c r="AF75" s="446">
        <f t="shared" ref="AF75:AF88" si="98">S75/5</f>
        <v>1.3591776131269692E-3</v>
      </c>
      <c r="AG75" s="445">
        <f t="shared" ref="AG75:AJ75" si="99">AF75</f>
        <v>1.3591776131269692E-3</v>
      </c>
      <c r="AH75" s="445">
        <f t="shared" si="99"/>
        <v>1.3591776131269692E-3</v>
      </c>
      <c r="AI75" s="445">
        <f t="shared" si="99"/>
        <v>1.3591776131269692E-3</v>
      </c>
      <c r="AJ75" s="445">
        <f t="shared" si="99"/>
        <v>1.3591776131269692E-3</v>
      </c>
      <c r="AK75" s="444"/>
      <c r="AL75" s="444"/>
      <c r="AM75" s="444"/>
      <c r="AN75" s="444"/>
      <c r="AO75" s="444"/>
      <c r="AP75" s="444"/>
      <c r="AQ75" s="444"/>
      <c r="AR75" s="444"/>
      <c r="AS75" s="444"/>
      <c r="AT75" s="444"/>
      <c r="AU75" s="444"/>
      <c r="AV75" s="405"/>
      <c r="AW75" s="385">
        <f t="shared" si="19"/>
        <v>6.7958880656348456E-3</v>
      </c>
      <c r="AX75" s="167">
        <f t="shared" si="20"/>
        <v>0</v>
      </c>
    </row>
    <row r="76" spans="1:50">
      <c r="A76" s="94">
        <f t="shared" si="90"/>
        <v>47</v>
      </c>
      <c r="B76" s="86" t="s">
        <v>141</v>
      </c>
      <c r="C76" s="101"/>
      <c r="D76" s="102"/>
      <c r="E76" s="151">
        <f>'[40]TB, Balok, Kolom'!Q43</f>
        <v>4.7879999999999994</v>
      </c>
      <c r="F76" s="140" t="s">
        <v>15</v>
      </c>
      <c r="G76" s="131">
        <f>G63</f>
        <v>715000</v>
      </c>
      <c r="H76" s="120">
        <v>300000</v>
      </c>
      <c r="I76" s="120">
        <f t="shared" si="83"/>
        <v>1015000</v>
      </c>
      <c r="J76" s="120">
        <f t="shared" si="84"/>
        <v>3423419.9999999995</v>
      </c>
      <c r="K76" s="120">
        <f t="shared" si="85"/>
        <v>1436399.9999999998</v>
      </c>
      <c r="L76" s="120">
        <f t="shared" si="86"/>
        <v>4859819.9999999991</v>
      </c>
      <c r="M76" s="114"/>
      <c r="N76" s="114"/>
      <c r="O76" s="114"/>
      <c r="P76" s="114">
        <v>152250</v>
      </c>
      <c r="Q76" s="166">
        <f t="shared" si="87"/>
        <v>1167250</v>
      </c>
      <c r="R76" s="167">
        <f t="shared" si="88"/>
        <v>5588792.9999999991</v>
      </c>
      <c r="S76" s="605">
        <f t="shared" si="89"/>
        <v>3.9744198130329247E-3</v>
      </c>
      <c r="T76" s="444"/>
      <c r="U76" s="444"/>
      <c r="V76" s="444"/>
      <c r="W76" s="444"/>
      <c r="X76" s="444"/>
      <c r="Y76" s="444"/>
      <c r="Z76" s="444"/>
      <c r="AA76" s="444"/>
      <c r="AB76" s="444"/>
      <c r="AC76" s="444"/>
      <c r="AD76" s="444"/>
      <c r="AE76" s="444"/>
      <c r="AF76" s="446">
        <f t="shared" si="98"/>
        <v>7.9488396260658496E-4</v>
      </c>
      <c r="AG76" s="445">
        <f t="shared" ref="AG76:AJ76" si="100">AF76</f>
        <v>7.9488396260658496E-4</v>
      </c>
      <c r="AH76" s="445">
        <f t="shared" si="100"/>
        <v>7.9488396260658496E-4</v>
      </c>
      <c r="AI76" s="445">
        <f t="shared" si="100"/>
        <v>7.9488396260658496E-4</v>
      </c>
      <c r="AJ76" s="445">
        <f t="shared" si="100"/>
        <v>7.9488396260658496E-4</v>
      </c>
      <c r="AK76" s="444"/>
      <c r="AL76" s="444"/>
      <c r="AM76" s="444"/>
      <c r="AN76" s="444"/>
      <c r="AO76" s="444"/>
      <c r="AP76" s="444"/>
      <c r="AQ76" s="444"/>
      <c r="AR76" s="444"/>
      <c r="AS76" s="444"/>
      <c r="AT76" s="444"/>
      <c r="AU76" s="444"/>
      <c r="AV76" s="405"/>
      <c r="AW76" s="385">
        <f t="shared" si="19"/>
        <v>3.9744198130329247E-3</v>
      </c>
      <c r="AX76" s="167">
        <f t="shared" si="20"/>
        <v>0</v>
      </c>
    </row>
    <row r="77" spans="1:50">
      <c r="A77" s="94">
        <f t="shared" si="90"/>
        <v>48</v>
      </c>
      <c r="B77" s="86" t="s">
        <v>133</v>
      </c>
      <c r="C77" s="101"/>
      <c r="D77" s="102"/>
      <c r="E77" s="151">
        <f>'[40]TB, Balok, Kolom'!S8</f>
        <v>740.26800000000003</v>
      </c>
      <c r="F77" s="140" t="s">
        <v>72</v>
      </c>
      <c r="G77" s="131">
        <v>9240</v>
      </c>
      <c r="H77" s="120">
        <v>2000</v>
      </c>
      <c r="I77" s="120">
        <f t="shared" si="83"/>
        <v>11240</v>
      </c>
      <c r="J77" s="120">
        <f t="shared" si="84"/>
        <v>6840076.3200000003</v>
      </c>
      <c r="K77" s="120">
        <f t="shared" si="85"/>
        <v>1480536</v>
      </c>
      <c r="L77" s="120">
        <f t="shared" si="86"/>
        <v>8320612.3200000003</v>
      </c>
      <c r="M77" s="114"/>
      <c r="N77" s="114"/>
      <c r="O77" s="114"/>
      <c r="P77" s="114">
        <v>1686</v>
      </c>
      <c r="Q77" s="166">
        <f t="shared" si="87"/>
        <v>12926</v>
      </c>
      <c r="R77" s="167">
        <f t="shared" si="88"/>
        <v>9568704.1679999996</v>
      </c>
      <c r="S77" s="605">
        <f t="shared" si="89"/>
        <v>6.8046977997485193E-3</v>
      </c>
      <c r="T77" s="444"/>
      <c r="U77" s="444"/>
      <c r="V77" s="444"/>
      <c r="W77" s="444"/>
      <c r="X77" s="444"/>
      <c r="Y77" s="444"/>
      <c r="Z77" s="444"/>
      <c r="AA77" s="444"/>
      <c r="AB77" s="444"/>
      <c r="AC77" s="444"/>
      <c r="AD77" s="444"/>
      <c r="AE77" s="444"/>
      <c r="AF77" s="446">
        <f t="shared" si="98"/>
        <v>1.3609395599497038E-3</v>
      </c>
      <c r="AG77" s="445">
        <f t="shared" ref="AG77:AJ77" si="101">AF77</f>
        <v>1.3609395599497038E-3</v>
      </c>
      <c r="AH77" s="445">
        <f t="shared" si="101"/>
        <v>1.3609395599497038E-3</v>
      </c>
      <c r="AI77" s="445">
        <f t="shared" si="101"/>
        <v>1.3609395599497038E-3</v>
      </c>
      <c r="AJ77" s="445">
        <f t="shared" si="101"/>
        <v>1.3609395599497038E-3</v>
      </c>
      <c r="AK77" s="444"/>
      <c r="AL77" s="444"/>
      <c r="AM77" s="444"/>
      <c r="AN77" s="444"/>
      <c r="AO77" s="444"/>
      <c r="AP77" s="444"/>
      <c r="AQ77" s="444"/>
      <c r="AR77" s="444"/>
      <c r="AS77" s="444"/>
      <c r="AT77" s="444"/>
      <c r="AU77" s="444"/>
      <c r="AV77" s="405"/>
      <c r="AW77" s="385">
        <f t="shared" si="19"/>
        <v>6.8046977997485193E-3</v>
      </c>
      <c r="AX77" s="167">
        <f t="shared" si="20"/>
        <v>0</v>
      </c>
    </row>
    <row r="78" spans="1:50">
      <c r="A78" s="94">
        <f t="shared" si="90"/>
        <v>49</v>
      </c>
      <c r="B78" s="86" t="s">
        <v>134</v>
      </c>
      <c r="C78" s="101"/>
      <c r="D78" s="102"/>
      <c r="E78" s="151">
        <f>'[40]TB, Balok, Kolom'!P60</f>
        <v>33.515999999999998</v>
      </c>
      <c r="F78" s="140" t="s">
        <v>14</v>
      </c>
      <c r="G78" s="131">
        <v>102000</v>
      </c>
      <c r="H78" s="120">
        <v>40000</v>
      </c>
      <c r="I78" s="120">
        <f t="shared" si="83"/>
        <v>142000</v>
      </c>
      <c r="J78" s="120">
        <f t="shared" si="84"/>
        <v>3418632</v>
      </c>
      <c r="K78" s="120">
        <f t="shared" si="85"/>
        <v>1340640</v>
      </c>
      <c r="L78" s="120">
        <f t="shared" si="86"/>
        <v>4759272</v>
      </c>
      <c r="M78" s="114"/>
      <c r="N78" s="114"/>
      <c r="O78" s="114"/>
      <c r="P78" s="114">
        <v>21300</v>
      </c>
      <c r="Q78" s="166">
        <f t="shared" si="87"/>
        <v>163300</v>
      </c>
      <c r="R78" s="167">
        <f t="shared" si="88"/>
        <v>5473162.7999999998</v>
      </c>
      <c r="S78" s="605">
        <f t="shared" si="89"/>
        <v>3.8921904375908644E-3</v>
      </c>
      <c r="T78" s="444"/>
      <c r="U78" s="444"/>
      <c r="V78" s="444"/>
      <c r="W78" s="444"/>
      <c r="X78" s="444"/>
      <c r="Y78" s="444"/>
      <c r="Z78" s="444"/>
      <c r="AA78" s="444"/>
      <c r="AB78" s="444"/>
      <c r="AC78" s="444"/>
      <c r="AD78" s="444"/>
      <c r="AE78" s="444"/>
      <c r="AF78" s="446">
        <f t="shared" si="98"/>
        <v>7.7843808751817283E-4</v>
      </c>
      <c r="AG78" s="445">
        <f t="shared" ref="AG78:AJ78" si="102">AF78</f>
        <v>7.7843808751817283E-4</v>
      </c>
      <c r="AH78" s="445">
        <f t="shared" si="102"/>
        <v>7.7843808751817283E-4</v>
      </c>
      <c r="AI78" s="445">
        <f t="shared" si="102"/>
        <v>7.7843808751817283E-4</v>
      </c>
      <c r="AJ78" s="445">
        <f t="shared" si="102"/>
        <v>7.7843808751817283E-4</v>
      </c>
      <c r="AK78" s="444"/>
      <c r="AL78" s="444"/>
      <c r="AM78" s="444"/>
      <c r="AN78" s="444"/>
      <c r="AO78" s="444"/>
      <c r="AP78" s="444"/>
      <c r="AQ78" s="444"/>
      <c r="AR78" s="444"/>
      <c r="AS78" s="444"/>
      <c r="AT78" s="444"/>
      <c r="AU78" s="444"/>
      <c r="AV78" s="405"/>
      <c r="AW78" s="385">
        <f t="shared" si="19"/>
        <v>3.892190437590864E-3</v>
      </c>
      <c r="AX78" s="167">
        <f t="shared" si="20"/>
        <v>0</v>
      </c>
    </row>
    <row r="79" spans="1:50">
      <c r="A79" s="94">
        <f t="shared" si="90"/>
        <v>50</v>
      </c>
      <c r="B79" s="86" t="s">
        <v>142</v>
      </c>
      <c r="C79" s="101"/>
      <c r="D79" s="102"/>
      <c r="E79" s="151">
        <f>'[40]TB, Balok, Kolom'!Q60</f>
        <v>1.7289999999999992</v>
      </c>
      <c r="F79" s="140" t="s">
        <v>15</v>
      </c>
      <c r="G79" s="131">
        <f>G76</f>
        <v>715000</v>
      </c>
      <c r="H79" s="120">
        <v>300000</v>
      </c>
      <c r="I79" s="120">
        <f t="shared" si="83"/>
        <v>1015000</v>
      </c>
      <c r="J79" s="120">
        <f t="shared" si="84"/>
        <v>1236234.9999999995</v>
      </c>
      <c r="K79" s="120">
        <f t="shared" si="85"/>
        <v>518699.99999999977</v>
      </c>
      <c r="L79" s="120">
        <f t="shared" si="86"/>
        <v>1754934.9999999993</v>
      </c>
      <c r="M79" s="114"/>
      <c r="N79" s="114"/>
      <c r="O79" s="114"/>
      <c r="P79" s="114">
        <v>152250</v>
      </c>
      <c r="Q79" s="166">
        <f t="shared" si="87"/>
        <v>1167250</v>
      </c>
      <c r="R79" s="167">
        <f t="shared" si="88"/>
        <v>2018175.2499999991</v>
      </c>
      <c r="S79" s="605">
        <f t="shared" si="89"/>
        <v>1.4352071547063334E-3</v>
      </c>
      <c r="T79" s="444"/>
      <c r="U79" s="444"/>
      <c r="V79" s="444"/>
      <c r="W79" s="444"/>
      <c r="X79" s="444"/>
      <c r="Y79" s="444"/>
      <c r="Z79" s="444"/>
      <c r="AA79" s="444"/>
      <c r="AB79" s="444"/>
      <c r="AC79" s="444"/>
      <c r="AD79" s="444"/>
      <c r="AE79" s="444"/>
      <c r="AF79" s="446">
        <f t="shared" si="98"/>
        <v>2.870414309412667E-4</v>
      </c>
      <c r="AG79" s="445">
        <f t="shared" ref="AG79:AJ79" si="103">AF79</f>
        <v>2.870414309412667E-4</v>
      </c>
      <c r="AH79" s="445">
        <f t="shared" si="103"/>
        <v>2.870414309412667E-4</v>
      </c>
      <c r="AI79" s="445">
        <f t="shared" si="103"/>
        <v>2.870414309412667E-4</v>
      </c>
      <c r="AJ79" s="445">
        <f t="shared" si="103"/>
        <v>2.870414309412667E-4</v>
      </c>
      <c r="AK79" s="444"/>
      <c r="AL79" s="444"/>
      <c r="AM79" s="444"/>
      <c r="AN79" s="444"/>
      <c r="AO79" s="444"/>
      <c r="AP79" s="444"/>
      <c r="AQ79" s="444"/>
      <c r="AR79" s="444"/>
      <c r="AS79" s="444"/>
      <c r="AT79" s="444"/>
      <c r="AU79" s="444"/>
      <c r="AV79" s="405"/>
      <c r="AW79" s="385">
        <f t="shared" ref="AW79:AW142" si="104">SUM(T79:AU79)</f>
        <v>1.4352071547063334E-3</v>
      </c>
      <c r="AX79" s="167">
        <f t="shared" ref="AX79:AX142" si="105">S79-AW79</f>
        <v>0</v>
      </c>
    </row>
    <row r="80" spans="1:50">
      <c r="A80" s="94">
        <f t="shared" si="90"/>
        <v>51</v>
      </c>
      <c r="B80" s="86" t="s">
        <v>135</v>
      </c>
      <c r="C80" s="101"/>
      <c r="D80" s="102"/>
      <c r="E80" s="151">
        <v>814.69</v>
      </c>
      <c r="F80" s="140" t="s">
        <v>72</v>
      </c>
      <c r="G80" s="131">
        <v>9240</v>
      </c>
      <c r="H80" s="120">
        <v>2000</v>
      </c>
      <c r="I80" s="120">
        <f t="shared" si="83"/>
        <v>11240</v>
      </c>
      <c r="J80" s="120">
        <f t="shared" si="84"/>
        <v>7527735.6000000006</v>
      </c>
      <c r="K80" s="120">
        <f t="shared" si="85"/>
        <v>1629380</v>
      </c>
      <c r="L80" s="120">
        <f t="shared" si="86"/>
        <v>9157115.6000000015</v>
      </c>
      <c r="M80" s="114"/>
      <c r="N80" s="114"/>
      <c r="O80" s="114"/>
      <c r="P80" s="114">
        <v>1686</v>
      </c>
      <c r="Q80" s="166">
        <f t="shared" si="87"/>
        <v>12926</v>
      </c>
      <c r="R80" s="167">
        <f t="shared" si="88"/>
        <v>10530682.940000001</v>
      </c>
      <c r="S80" s="605">
        <f t="shared" si="89"/>
        <v>7.488800340521436E-3</v>
      </c>
      <c r="T80" s="444"/>
      <c r="U80" s="444"/>
      <c r="V80" s="444"/>
      <c r="W80" s="444"/>
      <c r="X80" s="444"/>
      <c r="Y80" s="444"/>
      <c r="Z80" s="444"/>
      <c r="AA80" s="444"/>
      <c r="AB80" s="444"/>
      <c r="AC80" s="444"/>
      <c r="AD80" s="444"/>
      <c r="AE80" s="444"/>
      <c r="AF80" s="446">
        <f t="shared" si="98"/>
        <v>1.4977600681042873E-3</v>
      </c>
      <c r="AG80" s="445">
        <f t="shared" ref="AG80:AJ80" si="106">AF80</f>
        <v>1.4977600681042873E-3</v>
      </c>
      <c r="AH80" s="445">
        <f t="shared" si="106"/>
        <v>1.4977600681042873E-3</v>
      </c>
      <c r="AI80" s="445">
        <f t="shared" si="106"/>
        <v>1.4977600681042873E-3</v>
      </c>
      <c r="AJ80" s="445">
        <f t="shared" si="106"/>
        <v>1.4977600681042873E-3</v>
      </c>
      <c r="AK80" s="444"/>
      <c r="AL80" s="444"/>
      <c r="AM80" s="444"/>
      <c r="AN80" s="444"/>
      <c r="AO80" s="444"/>
      <c r="AP80" s="444"/>
      <c r="AQ80" s="444"/>
      <c r="AR80" s="444"/>
      <c r="AS80" s="444"/>
      <c r="AT80" s="444"/>
      <c r="AU80" s="444"/>
      <c r="AV80" s="405"/>
      <c r="AW80" s="385">
        <f t="shared" si="104"/>
        <v>7.488800340521436E-3</v>
      </c>
      <c r="AX80" s="167">
        <f t="shared" si="105"/>
        <v>0</v>
      </c>
    </row>
    <row r="81" spans="1:50">
      <c r="A81" s="94">
        <f t="shared" si="90"/>
        <v>52</v>
      </c>
      <c r="B81" s="86" t="s">
        <v>136</v>
      </c>
      <c r="C81" s="101"/>
      <c r="D81" s="102"/>
      <c r="E81" s="151">
        <f>'[40]TB, Balok, Kolom'!P85</f>
        <v>69.975000000000009</v>
      </c>
      <c r="F81" s="140" t="s">
        <v>14</v>
      </c>
      <c r="G81" s="131">
        <v>102000</v>
      </c>
      <c r="H81" s="120">
        <v>40000</v>
      </c>
      <c r="I81" s="120">
        <f t="shared" si="83"/>
        <v>142000</v>
      </c>
      <c r="J81" s="120">
        <f t="shared" si="84"/>
        <v>7137450.0000000009</v>
      </c>
      <c r="K81" s="120">
        <f t="shared" si="85"/>
        <v>2799000.0000000005</v>
      </c>
      <c r="L81" s="120">
        <f t="shared" si="86"/>
        <v>9936450.0000000019</v>
      </c>
      <c r="M81" s="114"/>
      <c r="N81" s="114"/>
      <c r="O81" s="114"/>
      <c r="P81" s="114">
        <v>21300</v>
      </c>
      <c r="Q81" s="166">
        <f t="shared" si="87"/>
        <v>163300</v>
      </c>
      <c r="R81" s="167">
        <f t="shared" si="88"/>
        <v>11426917.500000002</v>
      </c>
      <c r="S81" s="605">
        <f t="shared" si="89"/>
        <v>8.1261494769787803E-3</v>
      </c>
      <c r="T81" s="444"/>
      <c r="U81" s="444"/>
      <c r="V81" s="444"/>
      <c r="W81" s="444"/>
      <c r="X81" s="444"/>
      <c r="Y81" s="444"/>
      <c r="Z81" s="444"/>
      <c r="AA81" s="444"/>
      <c r="AB81" s="444"/>
      <c r="AC81" s="444"/>
      <c r="AD81" s="444"/>
      <c r="AE81" s="444"/>
      <c r="AF81" s="446">
        <f t="shared" si="98"/>
        <v>1.625229895395756E-3</v>
      </c>
      <c r="AG81" s="445">
        <f t="shared" ref="AG81:AJ81" si="107">AF81</f>
        <v>1.625229895395756E-3</v>
      </c>
      <c r="AH81" s="445">
        <f t="shared" si="107"/>
        <v>1.625229895395756E-3</v>
      </c>
      <c r="AI81" s="445">
        <f t="shared" si="107"/>
        <v>1.625229895395756E-3</v>
      </c>
      <c r="AJ81" s="445">
        <f t="shared" si="107"/>
        <v>1.625229895395756E-3</v>
      </c>
      <c r="AK81" s="444"/>
      <c r="AL81" s="444"/>
      <c r="AM81" s="444"/>
      <c r="AN81" s="444"/>
      <c r="AO81" s="444"/>
      <c r="AP81" s="444"/>
      <c r="AQ81" s="444"/>
      <c r="AR81" s="444"/>
      <c r="AS81" s="444"/>
      <c r="AT81" s="444"/>
      <c r="AU81" s="444"/>
      <c r="AV81" s="405"/>
      <c r="AW81" s="385">
        <f t="shared" si="104"/>
        <v>8.1261494769787803E-3</v>
      </c>
      <c r="AX81" s="167">
        <f t="shared" si="105"/>
        <v>0</v>
      </c>
    </row>
    <row r="82" spans="1:50">
      <c r="A82" s="94">
        <f t="shared" si="90"/>
        <v>53</v>
      </c>
      <c r="B82" s="86" t="s">
        <v>143</v>
      </c>
      <c r="C82" s="101"/>
      <c r="D82" s="102"/>
      <c r="E82" s="151">
        <f>'[40]TB, Balok, Kolom'!Q85</f>
        <v>4.1984999999999983</v>
      </c>
      <c r="F82" s="140" t="s">
        <v>15</v>
      </c>
      <c r="G82" s="131">
        <v>715000</v>
      </c>
      <c r="H82" s="120">
        <v>300000</v>
      </c>
      <c r="I82" s="120">
        <f t="shared" si="83"/>
        <v>1015000</v>
      </c>
      <c r="J82" s="120">
        <f t="shared" si="84"/>
        <v>3001927.4999999986</v>
      </c>
      <c r="K82" s="120">
        <f t="shared" si="85"/>
        <v>1259549.9999999995</v>
      </c>
      <c r="L82" s="120">
        <f t="shared" si="86"/>
        <v>4261477.4999999981</v>
      </c>
      <c r="M82" s="114"/>
      <c r="N82" s="114"/>
      <c r="O82" s="114"/>
      <c r="P82" s="114">
        <v>152250</v>
      </c>
      <c r="Q82" s="166">
        <f t="shared" si="87"/>
        <v>1167250</v>
      </c>
      <c r="R82" s="167">
        <f t="shared" si="88"/>
        <v>4900699.1249999981</v>
      </c>
      <c r="S82" s="605">
        <f t="shared" si="89"/>
        <v>3.4850880503380804E-3</v>
      </c>
      <c r="T82" s="444"/>
      <c r="U82" s="444"/>
      <c r="V82" s="444"/>
      <c r="W82" s="444"/>
      <c r="X82" s="444"/>
      <c r="Y82" s="444"/>
      <c r="Z82" s="444"/>
      <c r="AA82" s="444"/>
      <c r="AB82" s="444"/>
      <c r="AC82" s="444"/>
      <c r="AD82" s="444"/>
      <c r="AE82" s="444"/>
      <c r="AF82" s="446">
        <f t="shared" si="98"/>
        <v>6.9701761006761608E-4</v>
      </c>
      <c r="AG82" s="445">
        <f t="shared" ref="AG82:AJ82" si="108">AF82</f>
        <v>6.9701761006761608E-4</v>
      </c>
      <c r="AH82" s="445">
        <f t="shared" si="108"/>
        <v>6.9701761006761608E-4</v>
      </c>
      <c r="AI82" s="445">
        <f t="shared" si="108"/>
        <v>6.9701761006761608E-4</v>
      </c>
      <c r="AJ82" s="445">
        <f t="shared" si="108"/>
        <v>6.9701761006761608E-4</v>
      </c>
      <c r="AK82" s="444"/>
      <c r="AL82" s="444"/>
      <c r="AM82" s="444"/>
      <c r="AN82" s="444"/>
      <c r="AO82" s="444"/>
      <c r="AP82" s="444"/>
      <c r="AQ82" s="444"/>
      <c r="AR82" s="444"/>
      <c r="AS82" s="444"/>
      <c r="AT82" s="444"/>
      <c r="AU82" s="444"/>
      <c r="AV82" s="405"/>
      <c r="AW82" s="385">
        <f t="shared" si="104"/>
        <v>3.4850880503380804E-3</v>
      </c>
      <c r="AX82" s="167">
        <f t="shared" si="105"/>
        <v>0</v>
      </c>
    </row>
    <row r="83" spans="1:50">
      <c r="A83" s="94">
        <f t="shared" si="90"/>
        <v>54</v>
      </c>
      <c r="B83" s="86" t="s">
        <v>137</v>
      </c>
      <c r="C83" s="101"/>
      <c r="D83" s="102"/>
      <c r="E83" s="151">
        <f>'[40]TB, Balok, Kolom'!S10</f>
        <v>146.74412938267616</v>
      </c>
      <c r="F83" s="140" t="s">
        <v>72</v>
      </c>
      <c r="G83" s="131">
        <v>9240</v>
      </c>
      <c r="H83" s="120">
        <v>2000</v>
      </c>
      <c r="I83" s="120">
        <f t="shared" si="83"/>
        <v>11240</v>
      </c>
      <c r="J83" s="120">
        <f t="shared" si="84"/>
        <v>1355915.7554959278</v>
      </c>
      <c r="K83" s="120">
        <f t="shared" si="85"/>
        <v>293488.25876535231</v>
      </c>
      <c r="L83" s="120">
        <f t="shared" si="86"/>
        <v>1649404.0142612802</v>
      </c>
      <c r="M83" s="114"/>
      <c r="N83" s="114"/>
      <c r="O83" s="114"/>
      <c r="P83" s="114">
        <v>1686</v>
      </c>
      <c r="Q83" s="166">
        <f t="shared" si="87"/>
        <v>12926</v>
      </c>
      <c r="R83" s="167">
        <f t="shared" si="88"/>
        <v>1896814.6164004721</v>
      </c>
      <c r="S83" s="605">
        <f t="shared" si="89"/>
        <v>1.3489026330144064E-3</v>
      </c>
      <c r="T83" s="444"/>
      <c r="U83" s="444"/>
      <c r="V83" s="444"/>
      <c r="W83" s="444"/>
      <c r="X83" s="444"/>
      <c r="Y83" s="444"/>
      <c r="Z83" s="444"/>
      <c r="AA83" s="444"/>
      <c r="AB83" s="444"/>
      <c r="AC83" s="444"/>
      <c r="AD83" s="444"/>
      <c r="AE83" s="444"/>
      <c r="AF83" s="446">
        <f t="shared" si="98"/>
        <v>2.6978052660288126E-4</v>
      </c>
      <c r="AG83" s="445">
        <f t="shared" ref="AG83:AJ83" si="109">AF83</f>
        <v>2.6978052660288126E-4</v>
      </c>
      <c r="AH83" s="445">
        <f t="shared" si="109"/>
        <v>2.6978052660288126E-4</v>
      </c>
      <c r="AI83" s="445">
        <f t="shared" si="109"/>
        <v>2.6978052660288126E-4</v>
      </c>
      <c r="AJ83" s="445">
        <f t="shared" si="109"/>
        <v>2.6978052660288126E-4</v>
      </c>
      <c r="AK83" s="444"/>
      <c r="AL83" s="444"/>
      <c r="AM83" s="444"/>
      <c r="AN83" s="444"/>
      <c r="AO83" s="444"/>
      <c r="AP83" s="444"/>
      <c r="AQ83" s="444"/>
      <c r="AR83" s="444"/>
      <c r="AS83" s="444"/>
      <c r="AT83" s="444"/>
      <c r="AU83" s="444"/>
      <c r="AV83" s="405"/>
      <c r="AW83" s="385">
        <f t="shared" si="104"/>
        <v>1.3489026330144064E-3</v>
      </c>
      <c r="AX83" s="167">
        <f t="shared" si="105"/>
        <v>0</v>
      </c>
    </row>
    <row r="84" spans="1:50">
      <c r="A84" s="94">
        <f t="shared" si="90"/>
        <v>55</v>
      </c>
      <c r="B84" s="86" t="s">
        <v>138</v>
      </c>
      <c r="C84" s="101"/>
      <c r="D84" s="102"/>
      <c r="E84" s="151">
        <f>'[40]TB, Balok, Kolom'!Q205</f>
        <v>8.9840000000000018</v>
      </c>
      <c r="F84" s="140" t="s">
        <v>14</v>
      </c>
      <c r="G84" s="131">
        <v>102000</v>
      </c>
      <c r="H84" s="120">
        <v>40000</v>
      </c>
      <c r="I84" s="120">
        <f t="shared" si="83"/>
        <v>142000</v>
      </c>
      <c r="J84" s="120">
        <f t="shared" si="84"/>
        <v>916368.00000000023</v>
      </c>
      <c r="K84" s="120">
        <f t="shared" si="85"/>
        <v>359360.00000000006</v>
      </c>
      <c r="L84" s="120">
        <f t="shared" si="86"/>
        <v>1275728.0000000002</v>
      </c>
      <c r="M84" s="114"/>
      <c r="N84" s="114"/>
      <c r="O84" s="114"/>
      <c r="P84" s="114">
        <v>21300</v>
      </c>
      <c r="Q84" s="166">
        <f t="shared" si="87"/>
        <v>163300</v>
      </c>
      <c r="R84" s="167">
        <f t="shared" si="88"/>
        <v>1467087.2000000002</v>
      </c>
      <c r="S84" s="605">
        <f t="shared" si="89"/>
        <v>1.0433058506777756E-3</v>
      </c>
      <c r="T84" s="444"/>
      <c r="U84" s="444"/>
      <c r="V84" s="444"/>
      <c r="W84" s="444"/>
      <c r="X84" s="444"/>
      <c r="Y84" s="444"/>
      <c r="Z84" s="444"/>
      <c r="AA84" s="444"/>
      <c r="AB84" s="444"/>
      <c r="AC84" s="444"/>
      <c r="AD84" s="444"/>
      <c r="AE84" s="444"/>
      <c r="AF84" s="446">
        <f t="shared" si="98"/>
        <v>2.0866117013555513E-4</v>
      </c>
      <c r="AG84" s="445">
        <f t="shared" ref="AG84:AJ84" si="110">AF84</f>
        <v>2.0866117013555513E-4</v>
      </c>
      <c r="AH84" s="445">
        <f t="shared" si="110"/>
        <v>2.0866117013555513E-4</v>
      </c>
      <c r="AI84" s="445">
        <f t="shared" si="110"/>
        <v>2.0866117013555513E-4</v>
      </c>
      <c r="AJ84" s="445">
        <f t="shared" si="110"/>
        <v>2.0866117013555513E-4</v>
      </c>
      <c r="AK84" s="444"/>
      <c r="AL84" s="444"/>
      <c r="AM84" s="444"/>
      <c r="AN84" s="444"/>
      <c r="AO84" s="444"/>
      <c r="AP84" s="444"/>
      <c r="AQ84" s="444"/>
      <c r="AR84" s="444"/>
      <c r="AS84" s="444"/>
      <c r="AT84" s="444"/>
      <c r="AU84" s="444"/>
      <c r="AV84" s="405"/>
      <c r="AW84" s="385">
        <f t="shared" si="104"/>
        <v>1.0433058506777756E-3</v>
      </c>
      <c r="AX84" s="167">
        <f t="shared" si="105"/>
        <v>0</v>
      </c>
    </row>
    <row r="85" spans="1:50">
      <c r="A85" s="94">
        <f t="shared" si="90"/>
        <v>56</v>
      </c>
      <c r="B85" s="86" t="s">
        <v>144</v>
      </c>
      <c r="C85" s="101"/>
      <c r="D85" s="102"/>
      <c r="E85" s="151">
        <f>'[40]TB, Balok, Kolom'!R205</f>
        <v>0.33690000000000009</v>
      </c>
      <c r="F85" s="140" t="s">
        <v>15</v>
      </c>
      <c r="G85" s="131">
        <v>715000</v>
      </c>
      <c r="H85" s="120">
        <v>300000</v>
      </c>
      <c r="I85" s="120">
        <f t="shared" si="83"/>
        <v>1015000</v>
      </c>
      <c r="J85" s="120">
        <f t="shared" si="84"/>
        <v>240883.50000000006</v>
      </c>
      <c r="K85" s="120">
        <f t="shared" si="85"/>
        <v>101070.00000000003</v>
      </c>
      <c r="L85" s="120">
        <f t="shared" si="86"/>
        <v>341953.50000000012</v>
      </c>
      <c r="M85" s="114"/>
      <c r="N85" s="114"/>
      <c r="O85" s="114"/>
      <c r="P85" s="114">
        <v>152250</v>
      </c>
      <c r="Q85" s="166">
        <f t="shared" si="87"/>
        <v>1167250</v>
      </c>
      <c r="R85" s="167">
        <f t="shared" si="88"/>
        <v>393246.52500000008</v>
      </c>
      <c r="S85" s="605">
        <f t="shared" si="89"/>
        <v>2.7965372493959749E-4</v>
      </c>
      <c r="T85" s="444"/>
      <c r="U85" s="444"/>
      <c r="V85" s="444"/>
      <c r="W85" s="444"/>
      <c r="X85" s="444"/>
      <c r="Y85" s="444"/>
      <c r="Z85" s="444"/>
      <c r="AA85" s="444"/>
      <c r="AB85" s="444"/>
      <c r="AC85" s="444"/>
      <c r="AD85" s="444"/>
      <c r="AE85" s="444"/>
      <c r="AF85" s="446">
        <f t="shared" si="98"/>
        <v>5.59307449879195E-5</v>
      </c>
      <c r="AG85" s="445">
        <f t="shared" ref="AG85:AJ85" si="111">AF85</f>
        <v>5.59307449879195E-5</v>
      </c>
      <c r="AH85" s="445">
        <f t="shared" si="111"/>
        <v>5.59307449879195E-5</v>
      </c>
      <c r="AI85" s="445">
        <f t="shared" si="111"/>
        <v>5.59307449879195E-5</v>
      </c>
      <c r="AJ85" s="445">
        <f t="shared" si="111"/>
        <v>5.59307449879195E-5</v>
      </c>
      <c r="AK85" s="444"/>
      <c r="AL85" s="444"/>
      <c r="AM85" s="444"/>
      <c r="AN85" s="444"/>
      <c r="AO85" s="444"/>
      <c r="AP85" s="444"/>
      <c r="AQ85" s="444"/>
      <c r="AR85" s="444"/>
      <c r="AS85" s="444"/>
      <c r="AT85" s="444"/>
      <c r="AU85" s="444"/>
      <c r="AV85" s="405"/>
      <c r="AW85" s="385">
        <f t="shared" si="104"/>
        <v>2.7965372493959749E-4</v>
      </c>
      <c r="AX85" s="167">
        <f t="shared" si="105"/>
        <v>0</v>
      </c>
    </row>
    <row r="86" spans="1:50">
      <c r="A86" s="94">
        <f t="shared" si="90"/>
        <v>57</v>
      </c>
      <c r="B86" s="86" t="s">
        <v>145</v>
      </c>
      <c r="C86" s="101"/>
      <c r="D86" s="102"/>
      <c r="E86" s="151">
        <f>'[40]Volume Wiremesh &amp; Lantai'!Q19</f>
        <v>1057.02</v>
      </c>
      <c r="F86" s="140" t="s">
        <v>72</v>
      </c>
      <c r="G86" s="131">
        <v>9240</v>
      </c>
      <c r="H86" s="120">
        <v>2000</v>
      </c>
      <c r="I86" s="120">
        <f t="shared" si="83"/>
        <v>11240</v>
      </c>
      <c r="J86" s="120">
        <f t="shared" si="84"/>
        <v>9766864.8000000007</v>
      </c>
      <c r="K86" s="120">
        <f t="shared" si="85"/>
        <v>2114040</v>
      </c>
      <c r="L86" s="120">
        <f t="shared" si="86"/>
        <v>11880904.800000001</v>
      </c>
      <c r="M86" s="114"/>
      <c r="N86" s="114"/>
      <c r="O86" s="114"/>
      <c r="P86" s="114">
        <v>1686</v>
      </c>
      <c r="Q86" s="166">
        <f t="shared" si="87"/>
        <v>12926</v>
      </c>
      <c r="R86" s="167">
        <f t="shared" si="88"/>
        <v>13663040.52</v>
      </c>
      <c r="S86" s="605">
        <f t="shared" si="89"/>
        <v>9.7163482256293395E-3</v>
      </c>
      <c r="T86" s="444"/>
      <c r="U86" s="444"/>
      <c r="V86" s="444"/>
      <c r="W86" s="444"/>
      <c r="X86" s="444"/>
      <c r="Y86" s="444"/>
      <c r="Z86" s="444"/>
      <c r="AA86" s="444"/>
      <c r="AB86" s="444"/>
      <c r="AC86" s="444"/>
      <c r="AD86" s="444"/>
      <c r="AE86" s="444"/>
      <c r="AF86" s="446">
        <f t="shared" si="98"/>
        <v>1.9432696451258679E-3</v>
      </c>
      <c r="AG86" s="445">
        <f t="shared" ref="AG86:AJ86" si="112">AF86</f>
        <v>1.9432696451258679E-3</v>
      </c>
      <c r="AH86" s="445">
        <f t="shared" si="112"/>
        <v>1.9432696451258679E-3</v>
      </c>
      <c r="AI86" s="445">
        <f t="shared" si="112"/>
        <v>1.9432696451258679E-3</v>
      </c>
      <c r="AJ86" s="445">
        <f t="shared" si="112"/>
        <v>1.9432696451258679E-3</v>
      </c>
      <c r="AK86" s="444"/>
      <c r="AL86" s="444"/>
      <c r="AM86" s="444"/>
      <c r="AN86" s="444"/>
      <c r="AO86" s="444"/>
      <c r="AP86" s="444"/>
      <c r="AQ86" s="444"/>
      <c r="AR86" s="444"/>
      <c r="AS86" s="444"/>
      <c r="AT86" s="444"/>
      <c r="AU86" s="444"/>
      <c r="AV86" s="405"/>
      <c r="AW86" s="385">
        <f t="shared" si="104"/>
        <v>9.7163482256293395E-3</v>
      </c>
      <c r="AX86" s="167">
        <f t="shared" si="105"/>
        <v>0</v>
      </c>
    </row>
    <row r="87" spans="1:50">
      <c r="A87" s="94">
        <f t="shared" si="90"/>
        <v>58</v>
      </c>
      <c r="B87" s="86" t="s">
        <v>146</v>
      </c>
      <c r="C87" s="101"/>
      <c r="D87" s="102"/>
      <c r="E87" s="151">
        <f>'[40]Volume Wiremesh &amp; Lantai'!F9</f>
        <v>183.99700000000001</v>
      </c>
      <c r="F87" s="140" t="s">
        <v>14</v>
      </c>
      <c r="G87" s="131">
        <v>102000</v>
      </c>
      <c r="H87" s="120">
        <v>40000</v>
      </c>
      <c r="I87" s="120">
        <f t="shared" si="83"/>
        <v>142000</v>
      </c>
      <c r="J87" s="120">
        <f t="shared" si="84"/>
        <v>18767694</v>
      </c>
      <c r="K87" s="120">
        <f t="shared" si="85"/>
        <v>7359880.0000000009</v>
      </c>
      <c r="L87" s="120">
        <f t="shared" si="86"/>
        <v>26127574</v>
      </c>
      <c r="M87" s="114"/>
      <c r="N87" s="114"/>
      <c r="O87" s="114"/>
      <c r="P87" s="114">
        <v>21300</v>
      </c>
      <c r="Q87" s="166">
        <f t="shared" si="87"/>
        <v>163300</v>
      </c>
      <c r="R87" s="167">
        <f t="shared" si="88"/>
        <v>30046710.100000001</v>
      </c>
      <c r="S87" s="605">
        <f t="shared" si="89"/>
        <v>2.1367447307119175E-2</v>
      </c>
      <c r="T87" s="444"/>
      <c r="U87" s="444"/>
      <c r="V87" s="444"/>
      <c r="W87" s="444"/>
      <c r="X87" s="444"/>
      <c r="Y87" s="444"/>
      <c r="Z87" s="444"/>
      <c r="AA87" s="444"/>
      <c r="AB87" s="444"/>
      <c r="AC87" s="444"/>
      <c r="AD87" s="444"/>
      <c r="AE87" s="444"/>
      <c r="AF87" s="446">
        <f t="shared" si="98"/>
        <v>4.273489461423835E-3</v>
      </c>
      <c r="AG87" s="445">
        <f t="shared" ref="AG87:AJ87" si="113">AF87</f>
        <v>4.273489461423835E-3</v>
      </c>
      <c r="AH87" s="445">
        <f t="shared" si="113"/>
        <v>4.273489461423835E-3</v>
      </c>
      <c r="AI87" s="445">
        <f t="shared" si="113"/>
        <v>4.273489461423835E-3</v>
      </c>
      <c r="AJ87" s="445">
        <f t="shared" si="113"/>
        <v>4.273489461423835E-3</v>
      </c>
      <c r="AK87" s="444"/>
      <c r="AL87" s="444"/>
      <c r="AM87" s="444"/>
      <c r="AN87" s="444"/>
      <c r="AO87" s="444"/>
      <c r="AP87" s="444"/>
      <c r="AQ87" s="444"/>
      <c r="AR87" s="444"/>
      <c r="AS87" s="444"/>
      <c r="AT87" s="444"/>
      <c r="AU87" s="444"/>
      <c r="AV87" s="405"/>
      <c r="AW87" s="385">
        <f t="shared" si="104"/>
        <v>2.1367447307119175E-2</v>
      </c>
      <c r="AX87" s="167">
        <f t="shared" si="105"/>
        <v>0</v>
      </c>
    </row>
    <row r="88" spans="1:50">
      <c r="A88" s="94">
        <f t="shared" si="90"/>
        <v>59</v>
      </c>
      <c r="B88" s="86" t="s">
        <v>147</v>
      </c>
      <c r="C88" s="101"/>
      <c r="D88" s="102"/>
      <c r="E88" s="151">
        <f>'[40]Volume Wiremesh &amp; Lantai'!G9</f>
        <v>22.079639999999998</v>
      </c>
      <c r="F88" s="140" t="s">
        <v>15</v>
      </c>
      <c r="G88" s="131">
        <f>G73</f>
        <v>940500</v>
      </c>
      <c r="H88" s="120">
        <v>300000</v>
      </c>
      <c r="I88" s="120">
        <f t="shared" si="83"/>
        <v>1240500</v>
      </c>
      <c r="J88" s="120">
        <f t="shared" si="84"/>
        <v>20765901.419999998</v>
      </c>
      <c r="K88" s="120">
        <f t="shared" si="85"/>
        <v>6623891.9999999991</v>
      </c>
      <c r="L88" s="120">
        <f t="shared" si="86"/>
        <v>27389793.419999998</v>
      </c>
      <c r="M88" s="114"/>
      <c r="N88" s="114"/>
      <c r="O88" s="114"/>
      <c r="P88" s="114">
        <v>186075</v>
      </c>
      <c r="Q88" s="166">
        <f t="shared" si="87"/>
        <v>1426575</v>
      </c>
      <c r="R88" s="167">
        <f t="shared" si="88"/>
        <v>31498262.432999998</v>
      </c>
      <c r="S88" s="605">
        <f t="shared" si="89"/>
        <v>2.2399705677026482E-2</v>
      </c>
      <c r="T88" s="444"/>
      <c r="U88" s="444"/>
      <c r="V88" s="444"/>
      <c r="W88" s="444"/>
      <c r="X88" s="444"/>
      <c r="Y88" s="444"/>
      <c r="Z88" s="444"/>
      <c r="AA88" s="444"/>
      <c r="AB88" s="444"/>
      <c r="AC88" s="444"/>
      <c r="AD88" s="444"/>
      <c r="AE88" s="444"/>
      <c r="AF88" s="446">
        <f t="shared" si="98"/>
        <v>4.4799411354052967E-3</v>
      </c>
      <c r="AG88" s="445">
        <f t="shared" ref="AG88:AJ88" si="114">AF88</f>
        <v>4.4799411354052967E-3</v>
      </c>
      <c r="AH88" s="445">
        <f t="shared" si="114"/>
        <v>4.4799411354052967E-3</v>
      </c>
      <c r="AI88" s="445">
        <f t="shared" si="114"/>
        <v>4.4799411354052967E-3</v>
      </c>
      <c r="AJ88" s="445">
        <f t="shared" si="114"/>
        <v>4.4799411354052967E-3</v>
      </c>
      <c r="AK88" s="444"/>
      <c r="AL88" s="444"/>
      <c r="AM88" s="444"/>
      <c r="AN88" s="444"/>
      <c r="AO88" s="444"/>
      <c r="AP88" s="444"/>
      <c r="AQ88" s="444"/>
      <c r="AR88" s="444"/>
      <c r="AS88" s="444"/>
      <c r="AT88" s="444"/>
      <c r="AU88" s="444"/>
      <c r="AV88" s="405"/>
      <c r="AW88" s="385">
        <f t="shared" si="104"/>
        <v>2.2399705677026482E-2</v>
      </c>
      <c r="AX88" s="167">
        <f t="shared" si="105"/>
        <v>0</v>
      </c>
    </row>
    <row r="89" spans="1:50">
      <c r="A89" s="108"/>
      <c r="B89" s="108"/>
      <c r="C89" s="101"/>
      <c r="D89" s="102"/>
      <c r="E89" s="155"/>
      <c r="F89" s="156"/>
      <c r="G89" s="133"/>
      <c r="H89" s="122"/>
      <c r="I89" s="123"/>
      <c r="J89" s="123"/>
      <c r="K89" s="123"/>
      <c r="L89" s="123">
        <f>SUM(L27:L88)</f>
        <v>493268497.07426137</v>
      </c>
      <c r="Q89" s="168" t="s">
        <v>178</v>
      </c>
      <c r="R89" s="169">
        <f>SUM(R27:R88)</f>
        <v>763174648.7129004</v>
      </c>
      <c r="T89" s="444"/>
      <c r="U89" s="444"/>
      <c r="V89" s="444"/>
      <c r="W89" s="444"/>
      <c r="X89" s="444"/>
      <c r="Y89" s="444"/>
      <c r="Z89" s="444"/>
      <c r="AA89" s="444"/>
      <c r="AB89" s="444"/>
      <c r="AC89" s="444"/>
      <c r="AD89" s="444"/>
      <c r="AE89" s="444"/>
      <c r="AF89" s="444"/>
      <c r="AG89" s="444"/>
      <c r="AH89" s="444"/>
      <c r="AI89" s="444"/>
      <c r="AJ89" s="444"/>
      <c r="AK89" s="444"/>
      <c r="AL89" s="444"/>
      <c r="AM89" s="444"/>
      <c r="AN89" s="444"/>
      <c r="AO89" s="444"/>
      <c r="AP89" s="444"/>
      <c r="AQ89" s="444"/>
      <c r="AR89" s="444"/>
      <c r="AS89" s="444"/>
      <c r="AT89" s="444"/>
      <c r="AU89" s="444"/>
      <c r="AV89" s="405"/>
      <c r="AW89" s="385">
        <f t="shared" si="104"/>
        <v>0</v>
      </c>
      <c r="AX89" s="167">
        <f t="shared" si="105"/>
        <v>0</v>
      </c>
    </row>
    <row r="90" spans="1:50">
      <c r="A90" s="63"/>
      <c r="B90" s="63"/>
      <c r="C90" s="61"/>
      <c r="D90" s="64"/>
      <c r="E90" s="147"/>
      <c r="F90" s="148"/>
      <c r="G90" s="134"/>
      <c r="H90" s="130"/>
      <c r="I90" s="119"/>
      <c r="J90" s="119"/>
      <c r="K90" s="119"/>
      <c r="L90" s="119"/>
      <c r="Q90" s="165"/>
      <c r="R90" s="165"/>
      <c r="T90" s="444"/>
      <c r="U90" s="444"/>
      <c r="V90" s="444"/>
      <c r="W90" s="444"/>
      <c r="X90" s="444"/>
      <c r="Y90" s="444"/>
      <c r="Z90" s="444"/>
      <c r="AA90" s="444"/>
      <c r="AB90" s="444"/>
      <c r="AC90" s="444"/>
      <c r="AD90" s="444"/>
      <c r="AE90" s="444"/>
      <c r="AF90" s="444"/>
      <c r="AG90" s="444"/>
      <c r="AH90" s="444"/>
      <c r="AI90" s="444"/>
      <c r="AJ90" s="444"/>
      <c r="AK90" s="444"/>
      <c r="AL90" s="444"/>
      <c r="AM90" s="444"/>
      <c r="AN90" s="444"/>
      <c r="AO90" s="444"/>
      <c r="AP90" s="444"/>
      <c r="AQ90" s="444"/>
      <c r="AR90" s="444"/>
      <c r="AS90" s="444"/>
      <c r="AT90" s="444"/>
      <c r="AU90" s="444"/>
      <c r="AV90" s="405"/>
      <c r="AW90" s="385">
        <f t="shared" si="104"/>
        <v>0</v>
      </c>
      <c r="AX90" s="167">
        <f t="shared" si="105"/>
        <v>0</v>
      </c>
    </row>
    <row r="91" spans="1:50">
      <c r="A91" s="85" t="s">
        <v>8</v>
      </c>
      <c r="B91" s="95" t="s">
        <v>157</v>
      </c>
      <c r="C91" s="160"/>
      <c r="D91" s="164"/>
      <c r="E91" s="137"/>
      <c r="F91" s="138"/>
      <c r="G91" s="127"/>
      <c r="H91" s="116"/>
      <c r="I91" s="116"/>
      <c r="J91" s="116"/>
      <c r="K91" s="116"/>
      <c r="L91" s="116"/>
      <c r="Q91" s="165"/>
      <c r="R91" s="165"/>
      <c r="T91" s="444"/>
      <c r="U91" s="444"/>
      <c r="V91" s="444"/>
      <c r="W91" s="444"/>
      <c r="X91" s="444"/>
      <c r="Y91" s="444"/>
      <c r="Z91" s="444"/>
      <c r="AA91" s="444"/>
      <c r="AB91" s="444"/>
      <c r="AC91" s="444"/>
      <c r="AD91" s="444"/>
      <c r="AE91" s="444"/>
      <c r="AF91" s="444"/>
      <c r="AG91" s="444"/>
      <c r="AH91" s="444"/>
      <c r="AI91" s="444"/>
      <c r="AJ91" s="444"/>
      <c r="AK91" s="444"/>
      <c r="AL91" s="444"/>
      <c r="AM91" s="444"/>
      <c r="AN91" s="444"/>
      <c r="AO91" s="444"/>
      <c r="AP91" s="444"/>
      <c r="AQ91" s="444"/>
      <c r="AR91" s="444"/>
      <c r="AS91" s="444"/>
      <c r="AT91" s="444"/>
      <c r="AU91" s="444"/>
      <c r="AV91" s="405"/>
      <c r="AW91" s="385">
        <f t="shared" si="104"/>
        <v>0</v>
      </c>
      <c r="AX91" s="167">
        <f t="shared" si="105"/>
        <v>0</v>
      </c>
    </row>
    <row r="92" spans="1:50">
      <c r="A92" s="94">
        <v>1</v>
      </c>
      <c r="B92" s="86" t="s">
        <v>158</v>
      </c>
      <c r="C92" s="61"/>
      <c r="D92" s="64"/>
      <c r="E92" s="151">
        <v>1065</v>
      </c>
      <c r="F92" s="140" t="s">
        <v>72</v>
      </c>
      <c r="G92" s="127">
        <v>17000</v>
      </c>
      <c r="H92" s="116">
        <v>15000</v>
      </c>
      <c r="I92" s="116">
        <f t="shared" ref="I92:I96" si="115">H92+G92</f>
        <v>32000</v>
      </c>
      <c r="J92" s="116">
        <f t="shared" ref="J92:J96" si="116">E92*G92</f>
        <v>18105000</v>
      </c>
      <c r="K92" s="116">
        <f t="shared" ref="K92:K96" si="117">E92*H92</f>
        <v>15975000</v>
      </c>
      <c r="L92" s="116">
        <f>(K92+J92)</f>
        <v>34080000</v>
      </c>
      <c r="M92" s="114">
        <v>3200</v>
      </c>
      <c r="N92" s="114">
        <v>800</v>
      </c>
      <c r="O92" s="114">
        <v>800</v>
      </c>
      <c r="P92" s="114">
        <v>4800</v>
      </c>
      <c r="Q92" s="166">
        <f>I92+M92+N92+O92+P92</f>
        <v>41600</v>
      </c>
      <c r="R92" s="167">
        <f>Q92*E92</f>
        <v>44304000</v>
      </c>
      <c r="S92" s="605">
        <f t="shared" ref="S92:S96" si="118">R92/$R$6</f>
        <v>3.1506390627924617E-2</v>
      </c>
      <c r="T92" s="444"/>
      <c r="U92" s="444"/>
      <c r="V92" s="444"/>
      <c r="W92" s="444"/>
      <c r="X92" s="447"/>
      <c r="Y92" s="444"/>
      <c r="Z92" s="444"/>
      <c r="AA92" s="444"/>
      <c r="AB92" s="444"/>
      <c r="AC92" s="444"/>
      <c r="AD92" s="444"/>
      <c r="AE92" s="444"/>
      <c r="AF92" s="446">
        <f>S92/8</f>
        <v>3.9382988284905772E-3</v>
      </c>
      <c r="AG92" s="446">
        <f>AF92</f>
        <v>3.9382988284905772E-3</v>
      </c>
      <c r="AH92" s="446">
        <f>AG92</f>
        <v>3.9382988284905772E-3</v>
      </c>
      <c r="AI92" s="446">
        <f>AH92</f>
        <v>3.9382988284905772E-3</v>
      </c>
      <c r="AJ92" s="446">
        <f t="shared" ref="AJ92" si="119">AI92</f>
        <v>3.9382988284905772E-3</v>
      </c>
      <c r="AK92" s="446">
        <f t="shared" ref="AK92" si="120">AJ92</f>
        <v>3.9382988284905772E-3</v>
      </c>
      <c r="AL92" s="446">
        <f t="shared" ref="AL92" si="121">AK92</f>
        <v>3.9382988284905772E-3</v>
      </c>
      <c r="AM92" s="446">
        <f t="shared" ref="AM92" si="122">AL92</f>
        <v>3.9382988284905772E-3</v>
      </c>
      <c r="AN92" s="444"/>
      <c r="AO92" s="444"/>
      <c r="AP92" s="444"/>
      <c r="AQ92" s="444"/>
      <c r="AR92" s="444"/>
      <c r="AS92" s="444"/>
      <c r="AT92" s="444"/>
      <c r="AU92" s="444"/>
      <c r="AV92" s="405"/>
      <c r="AW92" s="385">
        <f t="shared" si="104"/>
        <v>3.1506390627924617E-2</v>
      </c>
      <c r="AX92" s="167">
        <f t="shared" si="105"/>
        <v>0</v>
      </c>
    </row>
    <row r="93" spans="1:50">
      <c r="A93" s="94">
        <f t="shared" ref="A93" si="123">A92+1</f>
        <v>2</v>
      </c>
      <c r="B93" s="86" t="s">
        <v>159</v>
      </c>
      <c r="C93" s="61"/>
      <c r="D93" s="64"/>
      <c r="E93" s="151">
        <v>2340</v>
      </c>
      <c r="F93" s="140" t="s">
        <v>72</v>
      </c>
      <c r="G93" s="127">
        <v>17000</v>
      </c>
      <c r="H93" s="116">
        <v>15000</v>
      </c>
      <c r="I93" s="116">
        <f t="shared" si="115"/>
        <v>32000</v>
      </c>
      <c r="J93" s="116">
        <f t="shared" si="116"/>
        <v>39780000</v>
      </c>
      <c r="K93" s="116">
        <f t="shared" si="117"/>
        <v>35100000</v>
      </c>
      <c r="L93" s="116">
        <f t="shared" ref="L93:L96" si="124">(K93+J93)</f>
        <v>74880000</v>
      </c>
      <c r="M93" s="114">
        <v>3200</v>
      </c>
      <c r="N93" s="114">
        <v>800</v>
      </c>
      <c r="O93" s="114">
        <v>800</v>
      </c>
      <c r="P93" s="114">
        <v>4800</v>
      </c>
      <c r="Q93" s="166">
        <f>I93+M93+N93+O93+P93</f>
        <v>41600</v>
      </c>
      <c r="R93" s="167">
        <f>Q93*E93</f>
        <v>97344000</v>
      </c>
      <c r="S93" s="605">
        <f t="shared" si="118"/>
        <v>6.9225308985299161E-2</v>
      </c>
      <c r="T93" s="444"/>
      <c r="U93" s="444"/>
      <c r="V93" s="444"/>
      <c r="W93" s="444"/>
      <c r="X93" s="447"/>
      <c r="Y93" s="444"/>
      <c r="Z93" s="444"/>
      <c r="AA93" s="444"/>
      <c r="AB93" s="444"/>
      <c r="AC93" s="444"/>
      <c r="AD93" s="444"/>
      <c r="AE93" s="444"/>
      <c r="AF93" s="446">
        <f t="shared" ref="AF93:AF96" si="125">S93/8</f>
        <v>8.6531636231623951E-3</v>
      </c>
      <c r="AG93" s="446">
        <f t="shared" ref="AG93:AI93" si="126">AF93</f>
        <v>8.6531636231623951E-3</v>
      </c>
      <c r="AH93" s="446">
        <f t="shared" si="126"/>
        <v>8.6531636231623951E-3</v>
      </c>
      <c r="AI93" s="446">
        <f t="shared" si="126"/>
        <v>8.6531636231623951E-3</v>
      </c>
      <c r="AJ93" s="446">
        <f t="shared" ref="AJ93:AJ96" si="127">AI93</f>
        <v>8.6531636231623951E-3</v>
      </c>
      <c r="AK93" s="446">
        <f t="shared" ref="AK93:AK96" si="128">AJ93</f>
        <v>8.6531636231623951E-3</v>
      </c>
      <c r="AL93" s="446">
        <f t="shared" ref="AL93:AL96" si="129">AK93</f>
        <v>8.6531636231623951E-3</v>
      </c>
      <c r="AM93" s="446">
        <f t="shared" ref="AM93:AM96" si="130">AL93</f>
        <v>8.6531636231623951E-3</v>
      </c>
      <c r="AN93" s="444"/>
      <c r="AO93" s="444"/>
      <c r="AP93" s="444"/>
      <c r="AQ93" s="444"/>
      <c r="AR93" s="444"/>
      <c r="AS93" s="444"/>
      <c r="AT93" s="444"/>
      <c r="AU93" s="444"/>
      <c r="AV93" s="405"/>
      <c r="AW93" s="385">
        <f t="shared" si="104"/>
        <v>6.9225308985299161E-2</v>
      </c>
      <c r="AX93" s="167">
        <f t="shared" si="105"/>
        <v>0</v>
      </c>
    </row>
    <row r="94" spans="1:50">
      <c r="A94" s="94">
        <v>3</v>
      </c>
      <c r="B94" s="86" t="s">
        <v>161</v>
      </c>
      <c r="C94" s="61"/>
      <c r="D94" s="64"/>
      <c r="E94" s="151">
        <v>742.4</v>
      </c>
      <c r="F94" s="140" t="s">
        <v>72</v>
      </c>
      <c r="G94" s="127">
        <v>17000</v>
      </c>
      <c r="H94" s="116">
        <v>15000</v>
      </c>
      <c r="I94" s="116">
        <f t="shared" si="115"/>
        <v>32000</v>
      </c>
      <c r="J94" s="116">
        <f t="shared" si="116"/>
        <v>12620800</v>
      </c>
      <c r="K94" s="116">
        <f t="shared" si="117"/>
        <v>11136000</v>
      </c>
      <c r="L94" s="116">
        <f t="shared" si="124"/>
        <v>23756800</v>
      </c>
      <c r="M94" s="114">
        <v>3200</v>
      </c>
      <c r="N94" s="114">
        <v>800</v>
      </c>
      <c r="O94" s="114">
        <v>800</v>
      </c>
      <c r="P94" s="114">
        <v>4800</v>
      </c>
      <c r="Q94" s="166">
        <f>I94+M94+N94+O94+P94</f>
        <v>41600</v>
      </c>
      <c r="R94" s="167">
        <f>Q94*E94</f>
        <v>30883840</v>
      </c>
      <c r="S94" s="605">
        <f t="shared" si="118"/>
        <v>2.1962764696874401E-2</v>
      </c>
      <c r="T94" s="444"/>
      <c r="U94" s="444"/>
      <c r="V94" s="444"/>
      <c r="W94" s="444"/>
      <c r="X94" s="447"/>
      <c r="Y94" s="444"/>
      <c r="Z94" s="444"/>
      <c r="AA94" s="444"/>
      <c r="AB94" s="444"/>
      <c r="AC94" s="444"/>
      <c r="AD94" s="444"/>
      <c r="AE94" s="444"/>
      <c r="AF94" s="446">
        <f t="shared" si="125"/>
        <v>2.7453455871093001E-3</v>
      </c>
      <c r="AG94" s="446">
        <f t="shared" ref="AG94:AI94" si="131">AF94</f>
        <v>2.7453455871093001E-3</v>
      </c>
      <c r="AH94" s="446">
        <f t="shared" si="131"/>
        <v>2.7453455871093001E-3</v>
      </c>
      <c r="AI94" s="446">
        <f t="shared" si="131"/>
        <v>2.7453455871093001E-3</v>
      </c>
      <c r="AJ94" s="446">
        <f t="shared" si="127"/>
        <v>2.7453455871093001E-3</v>
      </c>
      <c r="AK94" s="446">
        <f t="shared" si="128"/>
        <v>2.7453455871093001E-3</v>
      </c>
      <c r="AL94" s="446">
        <f t="shared" si="129"/>
        <v>2.7453455871093001E-3</v>
      </c>
      <c r="AM94" s="446">
        <f t="shared" si="130"/>
        <v>2.7453455871093001E-3</v>
      </c>
      <c r="AN94" s="444"/>
      <c r="AO94" s="444"/>
      <c r="AP94" s="444"/>
      <c r="AQ94" s="444"/>
      <c r="AR94" s="444"/>
      <c r="AS94" s="444"/>
      <c r="AT94" s="444"/>
      <c r="AU94" s="444"/>
      <c r="AV94" s="405"/>
      <c r="AW94" s="385">
        <f t="shared" si="104"/>
        <v>2.1962764696874401E-2</v>
      </c>
      <c r="AX94" s="167">
        <f t="shared" si="105"/>
        <v>0</v>
      </c>
    </row>
    <row r="95" spans="1:50">
      <c r="A95" s="94">
        <v>4</v>
      </c>
      <c r="B95" s="86" t="s">
        <v>160</v>
      </c>
      <c r="C95" s="61"/>
      <c r="D95" s="64"/>
      <c r="E95" s="151">
        <v>1184.4000000000001</v>
      </c>
      <c r="F95" s="140" t="s">
        <v>72</v>
      </c>
      <c r="G95" s="127">
        <v>17000</v>
      </c>
      <c r="H95" s="116">
        <v>15000</v>
      </c>
      <c r="I95" s="116">
        <f t="shared" si="115"/>
        <v>32000</v>
      </c>
      <c r="J95" s="116">
        <f t="shared" si="116"/>
        <v>20134800</v>
      </c>
      <c r="K95" s="116">
        <f t="shared" si="117"/>
        <v>17766000</v>
      </c>
      <c r="L95" s="116">
        <f t="shared" si="124"/>
        <v>37900800</v>
      </c>
      <c r="M95" s="114">
        <v>3200</v>
      </c>
      <c r="N95" s="114">
        <v>800</v>
      </c>
      <c r="O95" s="114">
        <v>800</v>
      </c>
      <c r="P95" s="114">
        <v>4800</v>
      </c>
      <c r="Q95" s="166">
        <f>I95+M95+N95+O95+P95</f>
        <v>41600</v>
      </c>
      <c r="R95" s="167">
        <f>Q95*E95</f>
        <v>49271040.000000007</v>
      </c>
      <c r="S95" s="605">
        <f t="shared" si="118"/>
        <v>3.5038656394097582E-2</v>
      </c>
      <c r="T95" s="444"/>
      <c r="U95" s="444"/>
      <c r="V95" s="444"/>
      <c r="W95" s="444"/>
      <c r="X95" s="447"/>
      <c r="Y95" s="444"/>
      <c r="Z95" s="444"/>
      <c r="AA95" s="444"/>
      <c r="AB95" s="444"/>
      <c r="AC95" s="444"/>
      <c r="AD95" s="444"/>
      <c r="AE95" s="444"/>
      <c r="AF95" s="446">
        <f t="shared" si="125"/>
        <v>4.3798320492621978E-3</v>
      </c>
      <c r="AG95" s="446">
        <f t="shared" ref="AG95:AI95" si="132">AF95</f>
        <v>4.3798320492621978E-3</v>
      </c>
      <c r="AH95" s="446">
        <f t="shared" si="132"/>
        <v>4.3798320492621978E-3</v>
      </c>
      <c r="AI95" s="446">
        <f t="shared" si="132"/>
        <v>4.3798320492621978E-3</v>
      </c>
      <c r="AJ95" s="446">
        <f t="shared" si="127"/>
        <v>4.3798320492621978E-3</v>
      </c>
      <c r="AK95" s="446">
        <f t="shared" si="128"/>
        <v>4.3798320492621978E-3</v>
      </c>
      <c r="AL95" s="446">
        <f t="shared" si="129"/>
        <v>4.3798320492621978E-3</v>
      </c>
      <c r="AM95" s="446">
        <f t="shared" si="130"/>
        <v>4.3798320492621978E-3</v>
      </c>
      <c r="AN95" s="444"/>
      <c r="AO95" s="444"/>
      <c r="AP95" s="444"/>
      <c r="AQ95" s="444"/>
      <c r="AR95" s="444"/>
      <c r="AS95" s="444"/>
      <c r="AT95" s="444"/>
      <c r="AU95" s="444"/>
      <c r="AV95" s="405"/>
      <c r="AW95" s="385">
        <f t="shared" si="104"/>
        <v>3.5038656394097582E-2</v>
      </c>
      <c r="AX95" s="167">
        <f t="shared" si="105"/>
        <v>0</v>
      </c>
    </row>
    <row r="96" spans="1:50">
      <c r="A96" s="94">
        <v>5</v>
      </c>
      <c r="B96" s="86" t="s">
        <v>162</v>
      </c>
      <c r="C96" s="61"/>
      <c r="D96" s="64"/>
      <c r="E96" s="151">
        <f>0.25*0.25*2.65*10</f>
        <v>1.65625</v>
      </c>
      <c r="F96" s="140" t="s">
        <v>15</v>
      </c>
      <c r="G96" s="127">
        <v>940500</v>
      </c>
      <c r="H96" s="116">
        <v>300000</v>
      </c>
      <c r="I96" s="116">
        <f t="shared" si="115"/>
        <v>1240500</v>
      </c>
      <c r="J96" s="116">
        <f t="shared" si="116"/>
        <v>1557703.125</v>
      </c>
      <c r="K96" s="116">
        <f t="shared" si="117"/>
        <v>496875</v>
      </c>
      <c r="L96" s="116">
        <f t="shared" si="124"/>
        <v>2054578.125</v>
      </c>
      <c r="M96" s="114">
        <v>124050</v>
      </c>
      <c r="N96" s="114">
        <v>31012</v>
      </c>
      <c r="O96" s="114">
        <v>31012</v>
      </c>
      <c r="P96" s="114">
        <v>186075</v>
      </c>
      <c r="Q96" s="166">
        <f>I96+M96+N96+O96+P96</f>
        <v>1612649</v>
      </c>
      <c r="R96" s="167">
        <f>Q96*E96</f>
        <v>2670949.90625</v>
      </c>
      <c r="S96" s="605">
        <f t="shared" si="118"/>
        <v>1.8994219730482831E-3</v>
      </c>
      <c r="T96" s="444"/>
      <c r="U96" s="444"/>
      <c r="V96" s="444"/>
      <c r="W96" s="444"/>
      <c r="X96" s="447"/>
      <c r="Y96" s="444"/>
      <c r="Z96" s="444"/>
      <c r="AA96" s="444"/>
      <c r="AB96" s="444"/>
      <c r="AC96" s="444"/>
      <c r="AD96" s="444"/>
      <c r="AE96" s="444"/>
      <c r="AF96" s="446">
        <f t="shared" si="125"/>
        <v>2.3742774663103539E-4</v>
      </c>
      <c r="AG96" s="446">
        <f t="shared" ref="AG96:AI96" si="133">AF96</f>
        <v>2.3742774663103539E-4</v>
      </c>
      <c r="AH96" s="446">
        <f t="shared" si="133"/>
        <v>2.3742774663103539E-4</v>
      </c>
      <c r="AI96" s="446">
        <f t="shared" si="133"/>
        <v>2.3742774663103539E-4</v>
      </c>
      <c r="AJ96" s="446">
        <f t="shared" si="127"/>
        <v>2.3742774663103539E-4</v>
      </c>
      <c r="AK96" s="446">
        <f t="shared" si="128"/>
        <v>2.3742774663103539E-4</v>
      </c>
      <c r="AL96" s="446">
        <f t="shared" si="129"/>
        <v>2.3742774663103539E-4</v>
      </c>
      <c r="AM96" s="446">
        <f t="shared" si="130"/>
        <v>2.3742774663103539E-4</v>
      </c>
      <c r="AN96" s="444"/>
      <c r="AO96" s="444"/>
      <c r="AP96" s="444"/>
      <c r="AQ96" s="444"/>
      <c r="AR96" s="444"/>
      <c r="AS96" s="444"/>
      <c r="AT96" s="444"/>
      <c r="AU96" s="444"/>
      <c r="AV96" s="405"/>
      <c r="AW96" s="385">
        <f t="shared" si="104"/>
        <v>1.8994219730482829E-3</v>
      </c>
      <c r="AX96" s="167">
        <f t="shared" si="105"/>
        <v>0</v>
      </c>
    </row>
    <row r="97" spans="1:50" ht="16" hidden="1" thickBot="1">
      <c r="A97" s="94"/>
      <c r="B97" s="86"/>
      <c r="C97" s="61"/>
      <c r="D97" s="64"/>
      <c r="E97" s="145"/>
      <c r="F97" s="146"/>
      <c r="G97" s="129"/>
      <c r="H97" s="118"/>
      <c r="I97" s="118"/>
      <c r="J97" s="118"/>
      <c r="K97" s="118"/>
      <c r="L97" s="118"/>
      <c r="Q97" s="165"/>
      <c r="R97" s="165"/>
      <c r="T97" s="444"/>
      <c r="U97" s="444"/>
      <c r="V97" s="444"/>
      <c r="W97" s="444"/>
      <c r="X97" s="444"/>
      <c r="Y97" s="444"/>
      <c r="Z97" s="444"/>
      <c r="AA97" s="444"/>
      <c r="AB97" s="444"/>
      <c r="AC97" s="444"/>
      <c r="AD97" s="444"/>
      <c r="AE97" s="444"/>
      <c r="AF97" s="444"/>
      <c r="AG97" s="444"/>
      <c r="AH97" s="444"/>
      <c r="AI97" s="444"/>
      <c r="AJ97" s="444"/>
      <c r="AK97" s="444"/>
      <c r="AL97" s="444"/>
      <c r="AM97" s="444"/>
      <c r="AN97" s="444"/>
      <c r="AO97" s="444"/>
      <c r="AP97" s="444"/>
      <c r="AQ97" s="444"/>
      <c r="AR97" s="444"/>
      <c r="AS97" s="444"/>
      <c r="AT97" s="444"/>
      <c r="AU97" s="444"/>
      <c r="AV97" s="405"/>
      <c r="AW97" s="385">
        <f t="shared" si="104"/>
        <v>0</v>
      </c>
      <c r="AX97" s="167">
        <f t="shared" si="105"/>
        <v>0</v>
      </c>
    </row>
    <row r="98" spans="1:50" hidden="1">
      <c r="A98" s="62"/>
      <c r="B98" s="63"/>
      <c r="C98" s="61"/>
      <c r="D98" s="64"/>
      <c r="E98" s="147"/>
      <c r="F98" s="148"/>
      <c r="G98" s="134"/>
      <c r="H98" s="130"/>
      <c r="I98" s="119"/>
      <c r="J98" s="119"/>
      <c r="K98" s="119"/>
      <c r="L98" s="119">
        <f>SUM(L92:L97)</f>
        <v>172672178.125</v>
      </c>
      <c r="Q98" s="165"/>
      <c r="R98" s="169">
        <f>SUM(R92:R97)</f>
        <v>224473829.90625</v>
      </c>
      <c r="T98" s="444"/>
      <c r="U98" s="444"/>
      <c r="V98" s="444"/>
      <c r="W98" s="444"/>
      <c r="X98" s="444"/>
      <c r="Y98" s="444"/>
      <c r="Z98" s="444"/>
      <c r="AA98" s="444"/>
      <c r="AB98" s="444"/>
      <c r="AC98" s="444"/>
      <c r="AD98" s="444"/>
      <c r="AE98" s="444"/>
      <c r="AF98" s="444"/>
      <c r="AG98" s="444"/>
      <c r="AH98" s="444"/>
      <c r="AI98" s="444"/>
      <c r="AJ98" s="444"/>
      <c r="AK98" s="444"/>
      <c r="AL98" s="444"/>
      <c r="AM98" s="444"/>
      <c r="AN98" s="444"/>
      <c r="AO98" s="444"/>
      <c r="AP98" s="444"/>
      <c r="AQ98" s="444"/>
      <c r="AR98" s="444"/>
      <c r="AS98" s="444"/>
      <c r="AT98" s="444"/>
      <c r="AU98" s="444"/>
      <c r="AV98" s="405"/>
      <c r="AW98" s="385">
        <f t="shared" si="104"/>
        <v>0</v>
      </c>
      <c r="AX98" s="167">
        <f t="shared" si="105"/>
        <v>0</v>
      </c>
    </row>
    <row r="99" spans="1:50" hidden="1">
      <c r="A99" s="63"/>
      <c r="B99" s="63"/>
      <c r="C99" s="61"/>
      <c r="D99" s="64"/>
      <c r="E99" s="147"/>
      <c r="F99" s="148"/>
      <c r="G99" s="134"/>
      <c r="H99" s="130"/>
      <c r="I99" s="119"/>
      <c r="J99" s="119"/>
      <c r="K99" s="119"/>
      <c r="L99" s="119"/>
      <c r="Q99" s="165"/>
      <c r="R99" s="165"/>
      <c r="T99" s="444"/>
      <c r="U99" s="444"/>
      <c r="V99" s="444"/>
      <c r="W99" s="444"/>
      <c r="X99" s="444"/>
      <c r="Y99" s="444"/>
      <c r="Z99" s="444"/>
      <c r="AA99" s="444"/>
      <c r="AB99" s="444"/>
      <c r="AC99" s="444"/>
      <c r="AD99" s="444"/>
      <c r="AE99" s="444"/>
      <c r="AF99" s="444"/>
      <c r="AG99" s="444"/>
      <c r="AH99" s="444"/>
      <c r="AI99" s="444"/>
      <c r="AJ99" s="444"/>
      <c r="AK99" s="444"/>
      <c r="AL99" s="444"/>
      <c r="AM99" s="444"/>
      <c r="AN99" s="444"/>
      <c r="AO99" s="444"/>
      <c r="AP99" s="444"/>
      <c r="AQ99" s="444"/>
      <c r="AR99" s="444"/>
      <c r="AS99" s="444"/>
      <c r="AT99" s="444"/>
      <c r="AU99" s="444"/>
      <c r="AV99" s="405"/>
      <c r="AW99" s="385">
        <f t="shared" si="104"/>
        <v>0</v>
      </c>
      <c r="AX99" s="167">
        <f t="shared" si="105"/>
        <v>0</v>
      </c>
    </row>
    <row r="100" spans="1:50">
      <c r="A100" s="63"/>
      <c r="B100" s="63"/>
      <c r="C100" s="61"/>
      <c r="D100" s="64"/>
      <c r="E100" s="147"/>
      <c r="F100" s="148"/>
      <c r="G100" s="134"/>
      <c r="H100" s="130"/>
      <c r="I100" s="119"/>
      <c r="J100" s="119"/>
      <c r="K100" s="119"/>
      <c r="L100" s="119"/>
      <c r="Q100" s="165"/>
      <c r="R100" s="165"/>
      <c r="T100" s="444"/>
      <c r="U100" s="444"/>
      <c r="V100" s="444"/>
      <c r="W100" s="444"/>
      <c r="X100" s="444"/>
      <c r="Y100" s="444"/>
      <c r="Z100" s="444"/>
      <c r="AA100" s="444"/>
      <c r="AB100" s="444"/>
      <c r="AC100" s="444"/>
      <c r="AD100" s="444"/>
      <c r="AE100" s="444"/>
      <c r="AF100" s="444"/>
      <c r="AG100" s="444"/>
      <c r="AH100" s="444"/>
      <c r="AI100" s="444"/>
      <c r="AJ100" s="444"/>
      <c r="AK100" s="444"/>
      <c r="AL100" s="444"/>
      <c r="AM100" s="444"/>
      <c r="AN100" s="444"/>
      <c r="AO100" s="444"/>
      <c r="AP100" s="444"/>
      <c r="AQ100" s="444"/>
      <c r="AR100" s="444"/>
      <c r="AS100" s="444"/>
      <c r="AT100" s="444"/>
      <c r="AU100" s="444"/>
      <c r="AV100" s="405"/>
      <c r="AW100" s="385">
        <f t="shared" si="104"/>
        <v>0</v>
      </c>
      <c r="AX100" s="167">
        <f t="shared" si="105"/>
        <v>0</v>
      </c>
    </row>
    <row r="101" spans="1:50">
      <c r="A101" s="85" t="s">
        <v>9</v>
      </c>
      <c r="B101" s="95" t="s">
        <v>43</v>
      </c>
      <c r="C101" s="160"/>
      <c r="D101" s="164"/>
      <c r="E101" s="137"/>
      <c r="F101" s="138"/>
      <c r="G101" s="127"/>
      <c r="H101" s="116"/>
      <c r="I101" s="116"/>
      <c r="J101" s="116"/>
      <c r="K101" s="116"/>
      <c r="L101" s="116"/>
      <c r="Q101" s="165"/>
      <c r="R101" s="165"/>
      <c r="T101" s="444"/>
      <c r="U101" s="444"/>
      <c r="V101" s="444"/>
      <c r="W101" s="444"/>
      <c r="X101" s="444"/>
      <c r="Y101" s="444"/>
      <c r="Z101" s="444"/>
      <c r="AA101" s="444"/>
      <c r="AB101" s="444"/>
      <c r="AC101" s="444"/>
      <c r="AD101" s="444"/>
      <c r="AE101" s="444"/>
      <c r="AF101" s="444"/>
      <c r="AG101" s="444"/>
      <c r="AH101" s="444"/>
      <c r="AI101" s="444"/>
      <c r="AJ101" s="444"/>
      <c r="AK101" s="444"/>
      <c r="AL101" s="444"/>
      <c r="AM101" s="444"/>
      <c r="AN101" s="444"/>
      <c r="AO101" s="444"/>
      <c r="AP101" s="444"/>
      <c r="AQ101" s="444"/>
      <c r="AR101" s="444"/>
      <c r="AS101" s="444"/>
      <c r="AT101" s="444"/>
      <c r="AU101" s="444"/>
      <c r="AV101" s="405"/>
      <c r="AW101" s="385">
        <f t="shared" si="104"/>
        <v>0</v>
      </c>
      <c r="AX101" s="167">
        <f t="shared" si="105"/>
        <v>0</v>
      </c>
    </row>
    <row r="102" spans="1:50">
      <c r="A102" s="94">
        <v>1</v>
      </c>
      <c r="B102" s="86" t="s">
        <v>240</v>
      </c>
      <c r="C102" s="61"/>
      <c r="D102" s="64"/>
      <c r="E102" s="151">
        <f>497</f>
        <v>497</v>
      </c>
      <c r="F102" s="140" t="s">
        <v>14</v>
      </c>
      <c r="G102" s="127">
        <v>47670</v>
      </c>
      <c r="H102" s="116">
        <v>28000</v>
      </c>
      <c r="I102" s="116">
        <f t="shared" si="21"/>
        <v>75670</v>
      </c>
      <c r="J102" s="116">
        <f t="shared" ref="J102:J112" si="134">E102*G102</f>
        <v>23691990</v>
      </c>
      <c r="K102" s="116">
        <f t="shared" ref="K102:K112" si="135">E102*H102</f>
        <v>13916000</v>
      </c>
      <c r="L102" s="116">
        <f>(K102+J102)</f>
        <v>37607990</v>
      </c>
      <c r="M102" s="114">
        <v>25000</v>
      </c>
      <c r="N102" s="124"/>
      <c r="O102" s="124"/>
      <c r="P102" s="124"/>
      <c r="Q102" s="166">
        <f t="shared" ref="Q102:Q112" si="136">M102+I102</f>
        <v>100670</v>
      </c>
      <c r="R102" s="167">
        <f t="shared" ref="R102:R112" si="137">Q102*E102</f>
        <v>50032990</v>
      </c>
      <c r="S102" s="605">
        <f t="shared" ref="S102:S112" si="138">R102/$R$6</f>
        <v>3.5580510274987501E-2</v>
      </c>
      <c r="T102" s="444"/>
      <c r="U102" s="444"/>
      <c r="V102" s="444"/>
      <c r="W102" s="444"/>
      <c r="X102" s="444"/>
      <c r="Y102" s="444"/>
      <c r="Z102" s="444"/>
      <c r="AA102" s="444"/>
      <c r="AB102" s="444"/>
      <c r="AC102" s="444"/>
      <c r="AD102" s="444"/>
      <c r="AE102" s="444"/>
      <c r="AF102" s="444"/>
      <c r="AG102" s="444"/>
      <c r="AH102" s="446">
        <f>S102/8</f>
        <v>4.4475637843734376E-3</v>
      </c>
      <c r="AI102" s="445">
        <f>AH102</f>
        <v>4.4475637843734376E-3</v>
      </c>
      <c r="AJ102" s="445">
        <f t="shared" ref="AJ102:AO102" si="139">AI102</f>
        <v>4.4475637843734376E-3</v>
      </c>
      <c r="AK102" s="445">
        <f t="shared" si="139"/>
        <v>4.4475637843734376E-3</v>
      </c>
      <c r="AL102" s="445">
        <f t="shared" si="139"/>
        <v>4.4475637843734376E-3</v>
      </c>
      <c r="AM102" s="445">
        <f t="shared" si="139"/>
        <v>4.4475637843734376E-3</v>
      </c>
      <c r="AN102" s="445">
        <f t="shared" si="139"/>
        <v>4.4475637843734376E-3</v>
      </c>
      <c r="AO102" s="445">
        <f t="shared" si="139"/>
        <v>4.4475637843734376E-3</v>
      </c>
      <c r="AP102" s="444"/>
      <c r="AQ102" s="444"/>
      <c r="AR102" s="444"/>
      <c r="AS102" s="444"/>
      <c r="AT102" s="444"/>
      <c r="AU102" s="444"/>
      <c r="AV102" s="405"/>
      <c r="AW102" s="385">
        <f t="shared" si="104"/>
        <v>3.5580510274987494E-2</v>
      </c>
      <c r="AX102" s="167">
        <f t="shared" si="105"/>
        <v>0</v>
      </c>
    </row>
    <row r="103" spans="1:50">
      <c r="A103" s="94">
        <f t="shared" ref="A103" si="140">A102+1</f>
        <v>2</v>
      </c>
      <c r="B103" s="86" t="s">
        <v>48</v>
      </c>
      <c r="C103" s="61"/>
      <c r="D103" s="64"/>
      <c r="E103" s="151">
        <f>E102*2</f>
        <v>994</v>
      </c>
      <c r="F103" s="140" t="s">
        <v>14</v>
      </c>
      <c r="G103" s="127">
        <v>14918</v>
      </c>
      <c r="H103" s="116">
        <v>25000</v>
      </c>
      <c r="I103" s="116">
        <f t="shared" si="21"/>
        <v>39918</v>
      </c>
      <c r="J103" s="116">
        <f t="shared" si="134"/>
        <v>14828492</v>
      </c>
      <c r="K103" s="116">
        <f t="shared" si="135"/>
        <v>24850000</v>
      </c>
      <c r="L103" s="116">
        <f t="shared" ref="L103:L112" si="141">(K103+J103)</f>
        <v>39678492</v>
      </c>
      <c r="M103" s="114">
        <v>15000</v>
      </c>
      <c r="N103" s="124"/>
      <c r="O103" s="124"/>
      <c r="P103" s="124"/>
      <c r="Q103" s="166">
        <f t="shared" si="136"/>
        <v>54918</v>
      </c>
      <c r="R103" s="167">
        <f t="shared" si="137"/>
        <v>54588492</v>
      </c>
      <c r="S103" s="605">
        <f t="shared" si="138"/>
        <v>3.8820114498495352E-2</v>
      </c>
      <c r="T103" s="444"/>
      <c r="U103" s="444"/>
      <c r="V103" s="444"/>
      <c r="W103" s="444"/>
      <c r="X103" s="444"/>
      <c r="Y103" s="444"/>
      <c r="Z103" s="444"/>
      <c r="AA103" s="444"/>
      <c r="AB103" s="444"/>
      <c r="AC103" s="444"/>
      <c r="AD103" s="444"/>
      <c r="AE103" s="444"/>
      <c r="AF103" s="444"/>
      <c r="AG103" s="444"/>
      <c r="AH103" s="444"/>
      <c r="AI103" s="444"/>
      <c r="AJ103" s="446">
        <f>S103/8</f>
        <v>4.852514312311919E-3</v>
      </c>
      <c r="AK103" s="445">
        <f>AJ103</f>
        <v>4.852514312311919E-3</v>
      </c>
      <c r="AL103" s="445">
        <f t="shared" ref="AL103:AQ103" si="142">AK103</f>
        <v>4.852514312311919E-3</v>
      </c>
      <c r="AM103" s="445">
        <f t="shared" si="142"/>
        <v>4.852514312311919E-3</v>
      </c>
      <c r="AN103" s="445">
        <f t="shared" si="142"/>
        <v>4.852514312311919E-3</v>
      </c>
      <c r="AO103" s="445">
        <f t="shared" si="142"/>
        <v>4.852514312311919E-3</v>
      </c>
      <c r="AP103" s="445">
        <f t="shared" si="142"/>
        <v>4.852514312311919E-3</v>
      </c>
      <c r="AQ103" s="445">
        <f t="shared" si="142"/>
        <v>4.852514312311919E-3</v>
      </c>
      <c r="AR103" s="444"/>
      <c r="AS103" s="444"/>
      <c r="AT103" s="444"/>
      <c r="AU103" s="444"/>
      <c r="AV103" s="405"/>
      <c r="AW103" s="385">
        <f t="shared" si="104"/>
        <v>3.8820114498495352E-2</v>
      </c>
      <c r="AX103" s="167">
        <f t="shared" si="105"/>
        <v>0</v>
      </c>
    </row>
    <row r="104" spans="1:50">
      <c r="A104" s="94">
        <v>3</v>
      </c>
      <c r="B104" s="86" t="s">
        <v>172</v>
      </c>
      <c r="C104" s="61"/>
      <c r="D104" s="64"/>
      <c r="E104" s="151">
        <v>994</v>
      </c>
      <c r="F104" s="140" t="s">
        <v>14</v>
      </c>
      <c r="G104" s="127">
        <v>5000</v>
      </c>
      <c r="H104" s="116">
        <v>20000</v>
      </c>
      <c r="I104" s="116">
        <v>25000</v>
      </c>
      <c r="J104" s="116">
        <f>G104*E104</f>
        <v>4970000</v>
      </c>
      <c r="K104" s="116">
        <f>H104*E104</f>
        <v>19880000</v>
      </c>
      <c r="L104" s="116">
        <f>K104+J104</f>
        <v>24850000</v>
      </c>
      <c r="M104" s="114">
        <v>10000</v>
      </c>
      <c r="N104" s="124"/>
      <c r="O104" s="124"/>
      <c r="P104" s="124"/>
      <c r="Q104" s="166">
        <f t="shared" si="136"/>
        <v>35000</v>
      </c>
      <c r="R104" s="167">
        <f t="shared" si="137"/>
        <v>34790000</v>
      </c>
      <c r="S104" s="605">
        <f t="shared" si="138"/>
        <v>2.4740595204620294E-2</v>
      </c>
      <c r="T104" s="444"/>
      <c r="U104" s="444"/>
      <c r="V104" s="444"/>
      <c r="W104" s="444"/>
      <c r="X104" s="444"/>
      <c r="Y104" s="444"/>
      <c r="Z104" s="444"/>
      <c r="AA104" s="444"/>
      <c r="AB104" s="444"/>
      <c r="AC104" s="444"/>
      <c r="AD104" s="444"/>
      <c r="AE104" s="444"/>
      <c r="AF104" s="444"/>
      <c r="AG104" s="444"/>
      <c r="AH104" s="444"/>
      <c r="AI104" s="444"/>
      <c r="AJ104" s="444"/>
      <c r="AK104" s="444"/>
      <c r="AL104" s="446">
        <f>S104/8</f>
        <v>3.0925744005775367E-3</v>
      </c>
      <c r="AM104" s="446">
        <f>AL104</f>
        <v>3.0925744005775367E-3</v>
      </c>
      <c r="AN104" s="446">
        <f t="shared" ref="AN104:AS104" si="143">AM104</f>
        <v>3.0925744005775367E-3</v>
      </c>
      <c r="AO104" s="446">
        <f t="shared" si="143"/>
        <v>3.0925744005775367E-3</v>
      </c>
      <c r="AP104" s="446">
        <f t="shared" si="143"/>
        <v>3.0925744005775367E-3</v>
      </c>
      <c r="AQ104" s="446">
        <f t="shared" si="143"/>
        <v>3.0925744005775367E-3</v>
      </c>
      <c r="AR104" s="446">
        <f t="shared" si="143"/>
        <v>3.0925744005775367E-3</v>
      </c>
      <c r="AS104" s="446">
        <f t="shared" si="143"/>
        <v>3.0925744005775367E-3</v>
      </c>
      <c r="AT104" s="444"/>
      <c r="AU104" s="444"/>
      <c r="AV104" s="405"/>
      <c r="AW104" s="385">
        <f t="shared" si="104"/>
        <v>2.4740595204620294E-2</v>
      </c>
      <c r="AX104" s="167">
        <f t="shared" si="105"/>
        <v>0</v>
      </c>
    </row>
    <row r="105" spans="1:50">
      <c r="A105" s="94">
        <v>3</v>
      </c>
      <c r="B105" s="86" t="s">
        <v>71</v>
      </c>
      <c r="C105" s="61"/>
      <c r="D105" s="64"/>
      <c r="E105" s="151">
        <v>314.55</v>
      </c>
      <c r="F105" s="140" t="s">
        <v>13</v>
      </c>
      <c r="G105" s="127">
        <f>G103+4100</f>
        <v>19018</v>
      </c>
      <c r="H105" s="116">
        <v>35000</v>
      </c>
      <c r="I105" s="116">
        <f t="shared" si="21"/>
        <v>54018</v>
      </c>
      <c r="J105" s="116">
        <f t="shared" si="134"/>
        <v>5982111.9000000004</v>
      </c>
      <c r="K105" s="116">
        <f t="shared" si="135"/>
        <v>11009250</v>
      </c>
      <c r="L105" s="116">
        <f t="shared" ref="L105" si="144">(K105+J105)</f>
        <v>16991361.899999999</v>
      </c>
      <c r="M105" s="114">
        <v>20000</v>
      </c>
      <c r="N105" s="124"/>
      <c r="O105" s="124"/>
      <c r="P105" s="124"/>
      <c r="Q105" s="166">
        <f t="shared" si="136"/>
        <v>74018</v>
      </c>
      <c r="R105" s="167">
        <f t="shared" si="137"/>
        <v>23282361.900000002</v>
      </c>
      <c r="S105" s="605">
        <f t="shared" si="138"/>
        <v>1.6557041999867038E-2</v>
      </c>
      <c r="T105" s="444"/>
      <c r="U105" s="444"/>
      <c r="V105" s="444"/>
      <c r="W105" s="444"/>
      <c r="X105" s="444"/>
      <c r="Y105" s="444"/>
      <c r="Z105" s="444"/>
      <c r="AA105" s="444"/>
      <c r="AB105" s="444"/>
      <c r="AC105" s="444"/>
      <c r="AD105" s="444"/>
      <c r="AE105" s="444"/>
      <c r="AF105" s="444"/>
      <c r="AG105" s="444"/>
      <c r="AH105" s="444"/>
      <c r="AI105" s="444"/>
      <c r="AJ105" s="444"/>
      <c r="AK105" s="444"/>
      <c r="AL105" s="446">
        <f t="shared" ref="AL105:AL110" si="145">S105/8</f>
        <v>2.0696302499833797E-3</v>
      </c>
      <c r="AM105" s="446">
        <f t="shared" ref="AM105:AS105" si="146">AL105</f>
        <v>2.0696302499833797E-3</v>
      </c>
      <c r="AN105" s="446">
        <f t="shared" si="146"/>
        <v>2.0696302499833797E-3</v>
      </c>
      <c r="AO105" s="446">
        <f t="shared" si="146"/>
        <v>2.0696302499833797E-3</v>
      </c>
      <c r="AP105" s="446">
        <f t="shared" si="146"/>
        <v>2.0696302499833797E-3</v>
      </c>
      <c r="AQ105" s="446">
        <f t="shared" si="146"/>
        <v>2.0696302499833797E-3</v>
      </c>
      <c r="AR105" s="446">
        <f t="shared" si="146"/>
        <v>2.0696302499833797E-3</v>
      </c>
      <c r="AS105" s="446">
        <f t="shared" si="146"/>
        <v>2.0696302499833797E-3</v>
      </c>
      <c r="AT105" s="444"/>
      <c r="AU105" s="444"/>
      <c r="AV105" s="405"/>
      <c r="AW105" s="385">
        <f t="shared" si="104"/>
        <v>1.6557041999867041E-2</v>
      </c>
      <c r="AX105" s="167">
        <f t="shared" si="105"/>
        <v>0</v>
      </c>
    </row>
    <row r="106" spans="1:50">
      <c r="A106" s="94">
        <v>4</v>
      </c>
      <c r="B106" s="86" t="s">
        <v>52</v>
      </c>
      <c r="C106" s="61"/>
      <c r="D106" s="64"/>
      <c r="E106" s="151">
        <v>138.72999999999999</v>
      </c>
      <c r="F106" s="140" t="s">
        <v>14</v>
      </c>
      <c r="G106" s="127">
        <v>90844</v>
      </c>
      <c r="H106" s="116">
        <v>32500</v>
      </c>
      <c r="I106" s="116">
        <f t="shared" si="21"/>
        <v>123344</v>
      </c>
      <c r="J106" s="116">
        <f t="shared" si="134"/>
        <v>12602788.119999999</v>
      </c>
      <c r="K106" s="116">
        <f t="shared" si="135"/>
        <v>4508725</v>
      </c>
      <c r="L106" s="116">
        <f t="shared" si="141"/>
        <v>17111513.119999997</v>
      </c>
      <c r="M106" s="114">
        <v>44000</v>
      </c>
      <c r="N106" s="124"/>
      <c r="O106" s="124"/>
      <c r="P106" s="124"/>
      <c r="Q106" s="166">
        <f t="shared" si="136"/>
        <v>167344</v>
      </c>
      <c r="R106" s="167">
        <f t="shared" si="137"/>
        <v>23215633.119999997</v>
      </c>
      <c r="S106" s="605">
        <f t="shared" si="138"/>
        <v>1.6509588428884621E-2</v>
      </c>
      <c r="T106" s="444"/>
      <c r="U106" s="444"/>
      <c r="V106" s="444"/>
      <c r="W106" s="444"/>
      <c r="X106" s="444"/>
      <c r="Y106" s="444"/>
      <c r="Z106" s="444"/>
      <c r="AA106" s="444"/>
      <c r="AB106" s="444"/>
      <c r="AC106" s="444"/>
      <c r="AD106" s="444"/>
      <c r="AE106" s="444"/>
      <c r="AF106" s="444"/>
      <c r="AG106" s="444"/>
      <c r="AH106" s="444"/>
      <c r="AI106" s="444"/>
      <c r="AJ106" s="444"/>
      <c r="AK106" s="444"/>
      <c r="AL106" s="446">
        <f t="shared" si="145"/>
        <v>2.0636985536105776E-3</v>
      </c>
      <c r="AM106" s="446">
        <f t="shared" ref="AM106:AS106" si="147">AL106</f>
        <v>2.0636985536105776E-3</v>
      </c>
      <c r="AN106" s="446">
        <f t="shared" si="147"/>
        <v>2.0636985536105776E-3</v>
      </c>
      <c r="AO106" s="446">
        <f t="shared" si="147"/>
        <v>2.0636985536105776E-3</v>
      </c>
      <c r="AP106" s="446">
        <f t="shared" si="147"/>
        <v>2.0636985536105776E-3</v>
      </c>
      <c r="AQ106" s="446">
        <f t="shared" si="147"/>
        <v>2.0636985536105776E-3</v>
      </c>
      <c r="AR106" s="446">
        <f t="shared" si="147"/>
        <v>2.0636985536105776E-3</v>
      </c>
      <c r="AS106" s="446">
        <f t="shared" si="147"/>
        <v>2.0636985536105776E-3</v>
      </c>
      <c r="AT106" s="444"/>
      <c r="AU106" s="444"/>
      <c r="AV106" s="405"/>
      <c r="AW106" s="385">
        <f t="shared" si="104"/>
        <v>1.6509588428884617E-2</v>
      </c>
      <c r="AX106" s="167">
        <f t="shared" si="105"/>
        <v>0</v>
      </c>
    </row>
    <row r="107" spans="1:50">
      <c r="A107" s="94">
        <v>5</v>
      </c>
      <c r="B107" s="86" t="s">
        <v>53</v>
      </c>
      <c r="C107" s="61"/>
      <c r="D107" s="64"/>
      <c r="E107" s="151">
        <v>200</v>
      </c>
      <c r="F107" s="140" t="s">
        <v>14</v>
      </c>
      <c r="G107" s="127">
        <v>47670</v>
      </c>
      <c r="H107" s="116">
        <v>28000</v>
      </c>
      <c r="I107" s="116">
        <f t="shared" si="21"/>
        <v>75670</v>
      </c>
      <c r="J107" s="116">
        <f t="shared" si="134"/>
        <v>9534000</v>
      </c>
      <c r="K107" s="116">
        <f t="shared" si="135"/>
        <v>5600000</v>
      </c>
      <c r="L107" s="116">
        <f t="shared" si="141"/>
        <v>15134000</v>
      </c>
      <c r="M107" s="114">
        <v>24000</v>
      </c>
      <c r="N107" s="124"/>
      <c r="O107" s="124"/>
      <c r="P107" s="124"/>
      <c r="Q107" s="166">
        <f t="shared" si="136"/>
        <v>99670</v>
      </c>
      <c r="R107" s="167">
        <f t="shared" si="137"/>
        <v>19934000</v>
      </c>
      <c r="S107" s="605">
        <f t="shared" si="138"/>
        <v>1.4175884587780997E-2</v>
      </c>
      <c r="T107" s="444"/>
      <c r="U107" s="444"/>
      <c r="V107" s="444"/>
      <c r="W107" s="444"/>
      <c r="X107" s="444"/>
      <c r="Y107" s="444"/>
      <c r="Z107" s="444"/>
      <c r="AA107" s="444"/>
      <c r="AB107" s="444"/>
      <c r="AC107" s="444"/>
      <c r="AD107" s="444"/>
      <c r="AE107" s="444"/>
      <c r="AF107" s="444"/>
      <c r="AG107" s="444"/>
      <c r="AH107" s="444"/>
      <c r="AI107" s="444"/>
      <c r="AJ107" s="444"/>
      <c r="AK107" s="444"/>
      <c r="AL107" s="446">
        <f t="shared" si="145"/>
        <v>1.7719855734726246E-3</v>
      </c>
      <c r="AM107" s="446">
        <f t="shared" ref="AM107:AS107" si="148">AL107</f>
        <v>1.7719855734726246E-3</v>
      </c>
      <c r="AN107" s="446">
        <f t="shared" si="148"/>
        <v>1.7719855734726246E-3</v>
      </c>
      <c r="AO107" s="446">
        <f t="shared" si="148"/>
        <v>1.7719855734726246E-3</v>
      </c>
      <c r="AP107" s="446">
        <f t="shared" si="148"/>
        <v>1.7719855734726246E-3</v>
      </c>
      <c r="AQ107" s="446">
        <f t="shared" si="148"/>
        <v>1.7719855734726246E-3</v>
      </c>
      <c r="AR107" s="446">
        <f t="shared" si="148"/>
        <v>1.7719855734726246E-3</v>
      </c>
      <c r="AS107" s="446">
        <f t="shared" si="148"/>
        <v>1.7719855734726246E-3</v>
      </c>
      <c r="AT107" s="444"/>
      <c r="AU107" s="444"/>
      <c r="AV107" s="405"/>
      <c r="AW107" s="385">
        <f t="shared" si="104"/>
        <v>1.4175884587780994E-2</v>
      </c>
      <c r="AX107" s="167">
        <f t="shared" si="105"/>
        <v>0</v>
      </c>
    </row>
    <row r="108" spans="1:50">
      <c r="A108" s="94">
        <v>6</v>
      </c>
      <c r="B108" s="86" t="s">
        <v>75</v>
      </c>
      <c r="C108" s="61"/>
      <c r="D108" s="64"/>
      <c r="E108" s="151">
        <f>E107</f>
        <v>200</v>
      </c>
      <c r="F108" s="140" t="s">
        <v>14</v>
      </c>
      <c r="G108" s="127">
        <v>14918</v>
      </c>
      <c r="H108" s="116">
        <v>25000</v>
      </c>
      <c r="I108" s="116">
        <f t="shared" si="21"/>
        <v>39918</v>
      </c>
      <c r="J108" s="116">
        <f t="shared" si="134"/>
        <v>2983600</v>
      </c>
      <c r="K108" s="116">
        <f t="shared" si="135"/>
        <v>5000000</v>
      </c>
      <c r="L108" s="116">
        <f t="shared" si="141"/>
        <v>7983600</v>
      </c>
      <c r="M108" s="114">
        <v>16000</v>
      </c>
      <c r="N108" s="124"/>
      <c r="O108" s="124"/>
      <c r="P108" s="124"/>
      <c r="Q108" s="166">
        <f t="shared" si="136"/>
        <v>55918</v>
      </c>
      <c r="R108" s="167">
        <f t="shared" si="137"/>
        <v>11183600</v>
      </c>
      <c r="S108" s="605">
        <f t="shared" si="138"/>
        <v>7.9531164280078042E-3</v>
      </c>
      <c r="T108" s="444"/>
      <c r="U108" s="444"/>
      <c r="V108" s="444"/>
      <c r="W108" s="444"/>
      <c r="X108" s="444"/>
      <c r="Y108" s="444"/>
      <c r="Z108" s="444"/>
      <c r="AA108" s="444"/>
      <c r="AB108" s="444"/>
      <c r="AC108" s="444"/>
      <c r="AD108" s="444"/>
      <c r="AE108" s="444"/>
      <c r="AF108" s="444"/>
      <c r="AG108" s="444"/>
      <c r="AH108" s="444"/>
      <c r="AI108" s="444"/>
      <c r="AJ108" s="444"/>
      <c r="AK108" s="444"/>
      <c r="AL108" s="446">
        <f t="shared" si="145"/>
        <v>9.9413955350097553E-4</v>
      </c>
      <c r="AM108" s="446">
        <f t="shared" ref="AM108:AS108" si="149">AL108</f>
        <v>9.9413955350097553E-4</v>
      </c>
      <c r="AN108" s="446">
        <f t="shared" si="149"/>
        <v>9.9413955350097553E-4</v>
      </c>
      <c r="AO108" s="446">
        <f t="shared" si="149"/>
        <v>9.9413955350097553E-4</v>
      </c>
      <c r="AP108" s="446">
        <f t="shared" si="149"/>
        <v>9.9413955350097553E-4</v>
      </c>
      <c r="AQ108" s="446">
        <f t="shared" si="149"/>
        <v>9.9413955350097553E-4</v>
      </c>
      <c r="AR108" s="446">
        <f t="shared" si="149"/>
        <v>9.9413955350097553E-4</v>
      </c>
      <c r="AS108" s="446">
        <f t="shared" si="149"/>
        <v>9.9413955350097553E-4</v>
      </c>
      <c r="AT108" s="444"/>
      <c r="AU108" s="444"/>
      <c r="AV108" s="405"/>
      <c r="AW108" s="385">
        <f t="shared" si="104"/>
        <v>7.9531164280078042E-3</v>
      </c>
      <c r="AX108" s="167">
        <f t="shared" si="105"/>
        <v>0</v>
      </c>
    </row>
    <row r="109" spans="1:50">
      <c r="A109" s="94">
        <v>7</v>
      </c>
      <c r="B109" s="86" t="s">
        <v>61</v>
      </c>
      <c r="C109" s="61"/>
      <c r="D109" s="64"/>
      <c r="E109" s="151">
        <f>0.25*8*1</f>
        <v>2</v>
      </c>
      <c r="F109" s="140" t="s">
        <v>15</v>
      </c>
      <c r="G109" s="127">
        <v>700000</v>
      </c>
      <c r="H109" s="116">
        <v>150000</v>
      </c>
      <c r="I109" s="117">
        <f t="shared" si="21"/>
        <v>850000</v>
      </c>
      <c r="J109" s="117">
        <f t="shared" si="134"/>
        <v>1400000</v>
      </c>
      <c r="K109" s="117">
        <f t="shared" si="135"/>
        <v>300000</v>
      </c>
      <c r="L109" s="116">
        <f t="shared" si="141"/>
        <v>1700000</v>
      </c>
      <c r="M109" s="114">
        <v>300000</v>
      </c>
      <c r="N109" s="124"/>
      <c r="O109" s="124"/>
      <c r="P109" s="124"/>
      <c r="Q109" s="166">
        <f t="shared" si="136"/>
        <v>1150000</v>
      </c>
      <c r="R109" s="167">
        <f t="shared" si="137"/>
        <v>2300000</v>
      </c>
      <c r="S109" s="605">
        <f t="shared" si="138"/>
        <v>1.6356242877443711E-3</v>
      </c>
      <c r="T109" s="444"/>
      <c r="U109" s="444"/>
      <c r="V109" s="444"/>
      <c r="W109" s="444"/>
      <c r="X109" s="444"/>
      <c r="Y109" s="444"/>
      <c r="Z109" s="444"/>
      <c r="AA109" s="444"/>
      <c r="AB109" s="444"/>
      <c r="AC109" s="444"/>
      <c r="AD109" s="444"/>
      <c r="AE109" s="444"/>
      <c r="AF109" s="444"/>
      <c r="AG109" s="444"/>
      <c r="AH109" s="444"/>
      <c r="AI109" s="444"/>
      <c r="AJ109" s="444"/>
      <c r="AK109" s="444"/>
      <c r="AL109" s="446">
        <f t="shared" si="145"/>
        <v>2.0445303596804639E-4</v>
      </c>
      <c r="AM109" s="446">
        <f t="shared" ref="AM109:AS109" si="150">AL109</f>
        <v>2.0445303596804639E-4</v>
      </c>
      <c r="AN109" s="446">
        <f t="shared" si="150"/>
        <v>2.0445303596804639E-4</v>
      </c>
      <c r="AO109" s="446">
        <f t="shared" si="150"/>
        <v>2.0445303596804639E-4</v>
      </c>
      <c r="AP109" s="446">
        <f t="shared" si="150"/>
        <v>2.0445303596804639E-4</v>
      </c>
      <c r="AQ109" s="446">
        <f t="shared" si="150"/>
        <v>2.0445303596804639E-4</v>
      </c>
      <c r="AR109" s="446">
        <f t="shared" si="150"/>
        <v>2.0445303596804639E-4</v>
      </c>
      <c r="AS109" s="446">
        <f t="shared" si="150"/>
        <v>2.0445303596804639E-4</v>
      </c>
      <c r="AT109" s="444"/>
      <c r="AU109" s="444"/>
      <c r="AV109" s="405"/>
      <c r="AW109" s="385">
        <f t="shared" si="104"/>
        <v>1.6356242877443709E-3</v>
      </c>
      <c r="AX109" s="167">
        <f t="shared" si="105"/>
        <v>0</v>
      </c>
    </row>
    <row r="110" spans="1:50">
      <c r="A110" s="94">
        <v>8</v>
      </c>
      <c r="B110" s="86" t="s">
        <v>73</v>
      </c>
      <c r="C110" s="61"/>
      <c r="D110" s="64"/>
      <c r="E110" s="151">
        <v>162.80000000000001</v>
      </c>
      <c r="F110" s="140" t="s">
        <v>72</v>
      </c>
      <c r="G110" s="127">
        <v>9000</v>
      </c>
      <c r="H110" s="116">
        <v>2000</v>
      </c>
      <c r="I110" s="117">
        <f t="shared" si="21"/>
        <v>11000</v>
      </c>
      <c r="J110" s="117">
        <f t="shared" si="134"/>
        <v>1465200</v>
      </c>
      <c r="K110" s="117">
        <f t="shared" si="135"/>
        <v>325600</v>
      </c>
      <c r="L110" s="116">
        <f t="shared" si="141"/>
        <v>1790800</v>
      </c>
      <c r="M110" s="114">
        <v>36000</v>
      </c>
      <c r="N110" s="124"/>
      <c r="O110" s="124"/>
      <c r="P110" s="124"/>
      <c r="Q110" s="166">
        <f t="shared" si="136"/>
        <v>47000</v>
      </c>
      <c r="R110" s="167">
        <f t="shared" si="137"/>
        <v>7651600.0000000009</v>
      </c>
      <c r="S110" s="605">
        <f t="shared" si="138"/>
        <v>5.4413664348281878E-3</v>
      </c>
      <c r="T110" s="444"/>
      <c r="U110" s="444"/>
      <c r="V110" s="444"/>
      <c r="W110" s="444"/>
      <c r="X110" s="444"/>
      <c r="Y110" s="444"/>
      <c r="Z110" s="444"/>
      <c r="AA110" s="444"/>
      <c r="AB110" s="444"/>
      <c r="AC110" s="444"/>
      <c r="AD110" s="444"/>
      <c r="AE110" s="444"/>
      <c r="AF110" s="444"/>
      <c r="AG110" s="444"/>
      <c r="AH110" s="444"/>
      <c r="AI110" s="444"/>
      <c r="AJ110" s="444"/>
      <c r="AK110" s="444"/>
      <c r="AL110" s="446">
        <f t="shared" si="145"/>
        <v>6.8017080435352347E-4</v>
      </c>
      <c r="AM110" s="446">
        <f t="shared" ref="AM110:AS110" si="151">AL110</f>
        <v>6.8017080435352347E-4</v>
      </c>
      <c r="AN110" s="446">
        <f t="shared" si="151"/>
        <v>6.8017080435352347E-4</v>
      </c>
      <c r="AO110" s="446">
        <f t="shared" si="151"/>
        <v>6.8017080435352347E-4</v>
      </c>
      <c r="AP110" s="446">
        <f t="shared" si="151"/>
        <v>6.8017080435352347E-4</v>
      </c>
      <c r="AQ110" s="446">
        <f t="shared" si="151"/>
        <v>6.8017080435352347E-4</v>
      </c>
      <c r="AR110" s="446">
        <f t="shared" si="151"/>
        <v>6.8017080435352347E-4</v>
      </c>
      <c r="AS110" s="446">
        <f t="shared" si="151"/>
        <v>6.8017080435352347E-4</v>
      </c>
      <c r="AT110" s="444"/>
      <c r="AU110" s="444"/>
      <c r="AV110" s="405"/>
      <c r="AW110" s="385">
        <f t="shared" si="104"/>
        <v>5.4413664348281886E-3</v>
      </c>
      <c r="AX110" s="167">
        <f t="shared" si="105"/>
        <v>0</v>
      </c>
    </row>
    <row r="111" spans="1:50">
      <c r="A111" s="94">
        <v>9</v>
      </c>
      <c r="B111" s="86" t="s">
        <v>55</v>
      </c>
      <c r="C111" s="61"/>
      <c r="D111" s="64"/>
      <c r="E111" s="157">
        <f>80*0.1</f>
        <v>8</v>
      </c>
      <c r="F111" s="158" t="s">
        <v>15</v>
      </c>
      <c r="G111" s="127">
        <v>700000</v>
      </c>
      <c r="H111" s="116">
        <v>150000</v>
      </c>
      <c r="I111" s="117">
        <f t="shared" si="21"/>
        <v>850000</v>
      </c>
      <c r="J111" s="117">
        <f t="shared" si="134"/>
        <v>5600000</v>
      </c>
      <c r="K111" s="117">
        <f t="shared" si="135"/>
        <v>1200000</v>
      </c>
      <c r="L111" s="116">
        <f t="shared" si="141"/>
        <v>6800000</v>
      </c>
      <c r="M111" s="114">
        <v>300000</v>
      </c>
      <c r="N111" s="124"/>
      <c r="O111" s="124"/>
      <c r="P111" s="124"/>
      <c r="Q111" s="166">
        <f t="shared" si="136"/>
        <v>1150000</v>
      </c>
      <c r="R111" s="167">
        <f t="shared" si="137"/>
        <v>9200000</v>
      </c>
      <c r="S111" s="605">
        <f t="shared" si="138"/>
        <v>6.5424971509774844E-3</v>
      </c>
      <c r="T111" s="444"/>
      <c r="U111" s="444"/>
      <c r="V111" s="444"/>
      <c r="W111" s="444"/>
      <c r="X111" s="444"/>
      <c r="Y111" s="444"/>
      <c r="Z111" s="444"/>
      <c r="AA111" s="444"/>
      <c r="AB111" s="444"/>
      <c r="AC111" s="444"/>
      <c r="AD111" s="444"/>
      <c r="AE111" s="444"/>
      <c r="AF111" s="446">
        <f>S111/2</f>
        <v>3.2712485754887422E-3</v>
      </c>
      <c r="AG111" s="445">
        <f>AF111</f>
        <v>3.2712485754887422E-3</v>
      </c>
      <c r="AH111" s="444"/>
      <c r="AI111" s="444"/>
      <c r="AJ111" s="444"/>
      <c r="AK111" s="444"/>
      <c r="AL111" s="444"/>
      <c r="AM111" s="444"/>
      <c r="AN111" s="444"/>
      <c r="AO111" s="444"/>
      <c r="AP111" s="444"/>
      <c r="AQ111" s="444"/>
      <c r="AR111" s="444"/>
      <c r="AS111" s="444"/>
      <c r="AT111" s="444"/>
      <c r="AU111" s="444"/>
      <c r="AV111" s="405"/>
      <c r="AW111" s="385">
        <f t="shared" si="104"/>
        <v>6.5424971509774844E-3</v>
      </c>
      <c r="AX111" s="167">
        <f t="shared" si="105"/>
        <v>0</v>
      </c>
    </row>
    <row r="112" spans="1:50" ht="16" thickBot="1">
      <c r="A112" s="94">
        <v>10</v>
      </c>
      <c r="B112" s="86" t="s">
        <v>74</v>
      </c>
      <c r="C112" s="61"/>
      <c r="D112" s="64"/>
      <c r="E112" s="145">
        <v>80</v>
      </c>
      <c r="F112" s="146" t="s">
        <v>14</v>
      </c>
      <c r="G112" s="129">
        <v>40000</v>
      </c>
      <c r="H112" s="118">
        <v>4000</v>
      </c>
      <c r="I112" s="118">
        <f t="shared" si="21"/>
        <v>44000</v>
      </c>
      <c r="J112" s="118">
        <f t="shared" si="134"/>
        <v>3200000</v>
      </c>
      <c r="K112" s="118">
        <f t="shared" si="135"/>
        <v>320000</v>
      </c>
      <c r="L112" s="116">
        <f t="shared" si="141"/>
        <v>3520000</v>
      </c>
      <c r="M112" s="114">
        <v>16000</v>
      </c>
      <c r="N112" s="124"/>
      <c r="O112" s="124"/>
      <c r="P112" s="124"/>
      <c r="Q112" s="166">
        <f t="shared" si="136"/>
        <v>60000</v>
      </c>
      <c r="R112" s="167">
        <f t="shared" si="137"/>
        <v>4800000</v>
      </c>
      <c r="S112" s="605">
        <f t="shared" si="138"/>
        <v>3.4134767744230356E-3</v>
      </c>
      <c r="T112" s="444"/>
      <c r="U112" s="444"/>
      <c r="V112" s="444"/>
      <c r="W112" s="444"/>
      <c r="X112" s="444"/>
      <c r="Y112" s="444"/>
      <c r="Z112" s="444"/>
      <c r="AA112" s="444"/>
      <c r="AB112" s="444"/>
      <c r="AC112" s="444"/>
      <c r="AD112" s="444"/>
      <c r="AE112" s="444"/>
      <c r="AF112" s="446">
        <f>S112/2</f>
        <v>1.7067383872115178E-3</v>
      </c>
      <c r="AG112" s="445">
        <f>AF112</f>
        <v>1.7067383872115178E-3</v>
      </c>
      <c r="AH112" s="444"/>
      <c r="AI112" s="444"/>
      <c r="AJ112" s="444"/>
      <c r="AK112" s="444"/>
      <c r="AL112" s="444"/>
      <c r="AM112" s="444"/>
      <c r="AN112" s="444"/>
      <c r="AO112" s="444"/>
      <c r="AP112" s="444"/>
      <c r="AQ112" s="444"/>
      <c r="AR112" s="444"/>
      <c r="AS112" s="444"/>
      <c r="AT112" s="444"/>
      <c r="AU112" s="444"/>
      <c r="AV112" s="405"/>
      <c r="AW112" s="385">
        <f t="shared" si="104"/>
        <v>3.4134767744230356E-3</v>
      </c>
      <c r="AX112" s="167">
        <f t="shared" si="105"/>
        <v>0</v>
      </c>
    </row>
    <row r="113" spans="1:50" s="114" customFormat="1">
      <c r="A113" s="386"/>
      <c r="B113" s="387"/>
      <c r="C113" s="388"/>
      <c r="D113" s="389"/>
      <c r="E113" s="153"/>
      <c r="F113" s="390"/>
      <c r="G113" s="391"/>
      <c r="H113" s="188"/>
      <c r="I113" s="392"/>
      <c r="J113" s="392"/>
      <c r="K113" s="392"/>
      <c r="L113" s="392">
        <f>SUM(L102:L112)</f>
        <v>173167757.02000001</v>
      </c>
      <c r="Q113" s="170" t="s">
        <v>178</v>
      </c>
      <c r="R113" s="170">
        <f>SUM(R102:R112)</f>
        <v>240978677.02000001</v>
      </c>
      <c r="S113" s="609"/>
      <c r="T113" s="449"/>
      <c r="U113" s="449"/>
      <c r="V113" s="449"/>
      <c r="W113" s="449"/>
      <c r="X113" s="449"/>
      <c r="Y113" s="449"/>
      <c r="Z113" s="449"/>
      <c r="AA113" s="449"/>
      <c r="AB113" s="449"/>
      <c r="AC113" s="449"/>
      <c r="AD113" s="449"/>
      <c r="AE113" s="449"/>
      <c r="AF113" s="449"/>
      <c r="AG113" s="449"/>
      <c r="AH113" s="449"/>
      <c r="AI113" s="449"/>
      <c r="AJ113" s="449"/>
      <c r="AK113" s="449"/>
      <c r="AL113" s="449"/>
      <c r="AM113" s="449"/>
      <c r="AN113" s="449"/>
      <c r="AO113" s="449"/>
      <c r="AP113" s="449"/>
      <c r="AQ113" s="449"/>
      <c r="AR113" s="449"/>
      <c r="AS113" s="449"/>
      <c r="AT113" s="449"/>
      <c r="AU113" s="449"/>
      <c r="AV113" s="407"/>
      <c r="AW113" s="167">
        <f t="shared" si="104"/>
        <v>0</v>
      </c>
      <c r="AX113" s="167">
        <f t="shared" si="105"/>
        <v>0</v>
      </c>
    </row>
    <row r="114" spans="1:50" s="114" customFormat="1">
      <c r="A114" s="393"/>
      <c r="B114" s="394"/>
      <c r="C114" s="388"/>
      <c r="D114" s="389"/>
      <c r="E114" s="159"/>
      <c r="F114" s="395"/>
      <c r="G114" s="391"/>
      <c r="H114" s="188"/>
      <c r="I114" s="392"/>
      <c r="J114" s="392"/>
      <c r="K114" s="392"/>
      <c r="L114" s="392"/>
      <c r="Q114" s="167"/>
      <c r="R114" s="167"/>
      <c r="S114" s="609"/>
      <c r="T114" s="449"/>
      <c r="U114" s="449"/>
      <c r="V114" s="449"/>
      <c r="W114" s="449"/>
      <c r="X114" s="449"/>
      <c r="Y114" s="449"/>
      <c r="Z114" s="449"/>
      <c r="AA114" s="449"/>
      <c r="AB114" s="449"/>
      <c r="AC114" s="449"/>
      <c r="AD114" s="449"/>
      <c r="AE114" s="449"/>
      <c r="AF114" s="449"/>
      <c r="AG114" s="449"/>
      <c r="AH114" s="449"/>
      <c r="AI114" s="449"/>
      <c r="AJ114" s="449"/>
      <c r="AK114" s="449"/>
      <c r="AL114" s="449"/>
      <c r="AM114" s="449"/>
      <c r="AN114" s="449"/>
      <c r="AO114" s="449"/>
      <c r="AP114" s="449"/>
      <c r="AQ114" s="449"/>
      <c r="AR114" s="449"/>
      <c r="AS114" s="449"/>
      <c r="AT114" s="449"/>
      <c r="AU114" s="449"/>
      <c r="AV114" s="407"/>
      <c r="AW114" s="167">
        <f t="shared" si="104"/>
        <v>0</v>
      </c>
      <c r="AX114" s="167">
        <f t="shared" si="105"/>
        <v>0</v>
      </c>
    </row>
    <row r="115" spans="1:50">
      <c r="A115" s="88" t="s">
        <v>10</v>
      </c>
      <c r="B115" s="95" t="s">
        <v>19</v>
      </c>
      <c r="C115" s="160"/>
      <c r="D115" s="164"/>
      <c r="E115" s="151"/>
      <c r="F115" s="140"/>
      <c r="G115" s="127"/>
      <c r="H115" s="116"/>
      <c r="I115" s="116"/>
      <c r="J115" s="116"/>
      <c r="K115" s="116"/>
      <c r="L115" s="116"/>
      <c r="Q115" s="165"/>
      <c r="R115" s="165"/>
      <c r="T115" s="444"/>
      <c r="U115" s="444"/>
      <c r="V115" s="444"/>
      <c r="W115" s="444"/>
      <c r="X115" s="444"/>
      <c r="Y115" s="444"/>
      <c r="Z115" s="444"/>
      <c r="AA115" s="444"/>
      <c r="AB115" s="444"/>
      <c r="AC115" s="444"/>
      <c r="AD115" s="444"/>
      <c r="AE115" s="444"/>
      <c r="AF115" s="444"/>
      <c r="AG115" s="444"/>
      <c r="AH115" s="444"/>
      <c r="AI115" s="444"/>
      <c r="AJ115" s="444"/>
      <c r="AK115" s="444"/>
      <c r="AL115" s="444"/>
      <c r="AM115" s="444"/>
      <c r="AN115" s="444"/>
      <c r="AO115" s="444"/>
      <c r="AP115" s="444"/>
      <c r="AQ115" s="444"/>
      <c r="AR115" s="444"/>
      <c r="AS115" s="444"/>
      <c r="AT115" s="444"/>
      <c r="AU115" s="444"/>
      <c r="AV115" s="405"/>
      <c r="AW115" s="385">
        <f t="shared" si="104"/>
        <v>0</v>
      </c>
      <c r="AX115" s="167">
        <f t="shared" si="105"/>
        <v>0</v>
      </c>
    </row>
    <row r="116" spans="1:50">
      <c r="A116" s="87">
        <v>1</v>
      </c>
      <c r="B116" s="86" t="s">
        <v>167</v>
      </c>
      <c r="C116" s="61"/>
      <c r="D116" s="64"/>
      <c r="E116" s="151">
        <v>48</v>
      </c>
      <c r="F116" s="140" t="s">
        <v>17</v>
      </c>
      <c r="G116" s="127">
        <f>72000+10000</f>
        <v>82000</v>
      </c>
      <c r="H116" s="116">
        <v>15000</v>
      </c>
      <c r="I116" s="116">
        <f>H116+G116</f>
        <v>97000</v>
      </c>
      <c r="J116" s="116">
        <f>E116*G116</f>
        <v>3936000</v>
      </c>
      <c r="K116" s="116">
        <f t="shared" ref="K116:K120" si="152">E116*H116</f>
        <v>720000</v>
      </c>
      <c r="L116" s="116">
        <f t="shared" ref="L116:L120" si="153">K116+J116</f>
        <v>4656000</v>
      </c>
      <c r="M116" s="114">
        <v>60000</v>
      </c>
      <c r="N116" s="124"/>
      <c r="O116" s="124"/>
      <c r="P116" s="124"/>
      <c r="Q116" s="166">
        <f>M116+I116</f>
        <v>157000</v>
      </c>
      <c r="R116" s="165">
        <f>Q116*E116</f>
        <v>7536000</v>
      </c>
      <c r="S116" s="605">
        <f t="shared" ref="S116:S119" si="154">R116/$R$6</f>
        <v>5.3591585358441661E-3</v>
      </c>
      <c r="T116" s="444"/>
      <c r="U116" s="444"/>
      <c r="V116" s="444"/>
      <c r="W116" s="444"/>
      <c r="X116" s="444"/>
      <c r="Y116" s="444"/>
      <c r="Z116" s="444"/>
      <c r="AA116" s="444"/>
      <c r="AB116" s="444"/>
      <c r="AC116" s="444"/>
      <c r="AD116" s="444"/>
      <c r="AE116" s="444"/>
      <c r="AF116" s="444"/>
      <c r="AG116" s="444"/>
      <c r="AH116" s="444"/>
      <c r="AI116" s="444"/>
      <c r="AJ116" s="446">
        <f>S116/8</f>
        <v>6.6989481698052076E-4</v>
      </c>
      <c r="AK116" s="445">
        <f>AJ116</f>
        <v>6.6989481698052076E-4</v>
      </c>
      <c r="AL116" s="445">
        <f t="shared" ref="AL116:AQ116" si="155">AK116</f>
        <v>6.6989481698052076E-4</v>
      </c>
      <c r="AM116" s="445">
        <f t="shared" si="155"/>
        <v>6.6989481698052076E-4</v>
      </c>
      <c r="AN116" s="445">
        <f t="shared" si="155"/>
        <v>6.6989481698052076E-4</v>
      </c>
      <c r="AO116" s="445">
        <f t="shared" si="155"/>
        <v>6.6989481698052076E-4</v>
      </c>
      <c r="AP116" s="445">
        <f t="shared" si="155"/>
        <v>6.6989481698052076E-4</v>
      </c>
      <c r="AQ116" s="445">
        <f t="shared" si="155"/>
        <v>6.6989481698052076E-4</v>
      </c>
      <c r="AR116" s="444"/>
      <c r="AS116" s="444"/>
      <c r="AT116" s="444"/>
      <c r="AU116" s="444"/>
      <c r="AV116" s="405"/>
      <c r="AW116" s="385">
        <f t="shared" si="104"/>
        <v>5.3591585358441652E-3</v>
      </c>
      <c r="AX116" s="167">
        <f t="shared" si="105"/>
        <v>0</v>
      </c>
    </row>
    <row r="117" spans="1:50">
      <c r="A117" s="87">
        <f t="shared" ref="A117:A119" si="156">A116+1</f>
        <v>2</v>
      </c>
      <c r="B117" s="86" t="s">
        <v>168</v>
      </c>
      <c r="C117" s="61"/>
      <c r="D117" s="64"/>
      <c r="E117" s="151">
        <v>15</v>
      </c>
      <c r="F117" s="140" t="s">
        <v>17</v>
      </c>
      <c r="G117" s="127">
        <f t="shared" ref="G117:G119" si="157">72000+10000</f>
        <v>82000</v>
      </c>
      <c r="H117" s="116">
        <v>15000</v>
      </c>
      <c r="I117" s="116">
        <f t="shared" ref="I117:I120" si="158">H117+G117</f>
        <v>97000</v>
      </c>
      <c r="J117" s="116">
        <f t="shared" ref="J117:J120" si="159">E117*G117</f>
        <v>1230000</v>
      </c>
      <c r="K117" s="116">
        <f t="shared" si="152"/>
        <v>225000</v>
      </c>
      <c r="L117" s="116">
        <f t="shared" si="153"/>
        <v>1455000</v>
      </c>
      <c r="M117" s="114">
        <v>60000</v>
      </c>
      <c r="N117" s="124"/>
      <c r="O117" s="124"/>
      <c r="P117" s="124"/>
      <c r="Q117" s="166">
        <f>M117+I117</f>
        <v>157000</v>
      </c>
      <c r="R117" s="165">
        <f>Q117*E117</f>
        <v>2355000</v>
      </c>
      <c r="S117" s="605">
        <f t="shared" si="154"/>
        <v>1.6747370424513017E-3</v>
      </c>
      <c r="T117" s="444"/>
      <c r="U117" s="444"/>
      <c r="V117" s="444"/>
      <c r="W117" s="444"/>
      <c r="X117" s="444"/>
      <c r="Y117" s="444"/>
      <c r="Z117" s="444"/>
      <c r="AA117" s="444"/>
      <c r="AB117" s="444"/>
      <c r="AC117" s="444"/>
      <c r="AD117" s="444"/>
      <c r="AE117" s="444"/>
      <c r="AF117" s="444"/>
      <c r="AG117" s="444"/>
      <c r="AH117" s="444"/>
      <c r="AI117" s="444"/>
      <c r="AJ117" s="446">
        <f t="shared" ref="AJ117:AJ119" si="160">S117/8</f>
        <v>2.0934213030641272E-4</v>
      </c>
      <c r="AK117" s="445">
        <f t="shared" ref="AK117:AQ117" si="161">AJ117</f>
        <v>2.0934213030641272E-4</v>
      </c>
      <c r="AL117" s="445">
        <f t="shared" si="161"/>
        <v>2.0934213030641272E-4</v>
      </c>
      <c r="AM117" s="445">
        <f t="shared" si="161"/>
        <v>2.0934213030641272E-4</v>
      </c>
      <c r="AN117" s="445">
        <f t="shared" si="161"/>
        <v>2.0934213030641272E-4</v>
      </c>
      <c r="AO117" s="445">
        <f t="shared" si="161"/>
        <v>2.0934213030641272E-4</v>
      </c>
      <c r="AP117" s="445">
        <f t="shared" si="161"/>
        <v>2.0934213030641272E-4</v>
      </c>
      <c r="AQ117" s="445">
        <f t="shared" si="161"/>
        <v>2.0934213030641272E-4</v>
      </c>
      <c r="AR117" s="444"/>
      <c r="AS117" s="444"/>
      <c r="AT117" s="444"/>
      <c r="AU117" s="444"/>
      <c r="AV117" s="405"/>
      <c r="AW117" s="385">
        <f t="shared" si="104"/>
        <v>1.6747370424513017E-3</v>
      </c>
      <c r="AX117" s="167">
        <f t="shared" si="105"/>
        <v>0</v>
      </c>
    </row>
    <row r="118" spans="1:50">
      <c r="A118" s="87">
        <f t="shared" si="156"/>
        <v>3</v>
      </c>
      <c r="B118" s="86" t="s">
        <v>169</v>
      </c>
      <c r="C118" s="61"/>
      <c r="D118" s="64"/>
      <c r="E118" s="151">
        <v>11</v>
      </c>
      <c r="F118" s="140" t="s">
        <v>17</v>
      </c>
      <c r="G118" s="127">
        <f t="shared" si="157"/>
        <v>82000</v>
      </c>
      <c r="H118" s="116">
        <v>15000</v>
      </c>
      <c r="I118" s="116">
        <f t="shared" si="158"/>
        <v>97000</v>
      </c>
      <c r="J118" s="116">
        <f t="shared" si="159"/>
        <v>902000</v>
      </c>
      <c r="K118" s="116">
        <f t="shared" si="152"/>
        <v>165000</v>
      </c>
      <c r="L118" s="116">
        <f t="shared" si="153"/>
        <v>1067000</v>
      </c>
      <c r="M118" s="114">
        <v>60000</v>
      </c>
      <c r="N118" s="124"/>
      <c r="O118" s="124"/>
      <c r="P118" s="124"/>
      <c r="Q118" s="166">
        <f>M118+I118</f>
        <v>157000</v>
      </c>
      <c r="R118" s="165">
        <f>Q118*E118</f>
        <v>1727000</v>
      </c>
      <c r="S118" s="605">
        <f t="shared" si="154"/>
        <v>1.2281404977976212E-3</v>
      </c>
      <c r="T118" s="444"/>
      <c r="U118" s="444"/>
      <c r="V118" s="444"/>
      <c r="W118" s="444"/>
      <c r="X118" s="444"/>
      <c r="Y118" s="444"/>
      <c r="Z118" s="444"/>
      <c r="AA118" s="444"/>
      <c r="AB118" s="444"/>
      <c r="AC118" s="444"/>
      <c r="AD118" s="444"/>
      <c r="AE118" s="444"/>
      <c r="AF118" s="444"/>
      <c r="AG118" s="444"/>
      <c r="AH118" s="444"/>
      <c r="AI118" s="444"/>
      <c r="AJ118" s="446">
        <f t="shared" si="160"/>
        <v>1.5351756222470265E-4</v>
      </c>
      <c r="AK118" s="445">
        <f t="shared" ref="AK118:AQ118" si="162">AJ118</f>
        <v>1.5351756222470265E-4</v>
      </c>
      <c r="AL118" s="445">
        <f t="shared" si="162"/>
        <v>1.5351756222470265E-4</v>
      </c>
      <c r="AM118" s="445">
        <f t="shared" si="162"/>
        <v>1.5351756222470265E-4</v>
      </c>
      <c r="AN118" s="445">
        <f t="shared" si="162"/>
        <v>1.5351756222470265E-4</v>
      </c>
      <c r="AO118" s="445">
        <f t="shared" si="162"/>
        <v>1.5351756222470265E-4</v>
      </c>
      <c r="AP118" s="445">
        <f t="shared" si="162"/>
        <v>1.5351756222470265E-4</v>
      </c>
      <c r="AQ118" s="445">
        <f t="shared" si="162"/>
        <v>1.5351756222470265E-4</v>
      </c>
      <c r="AR118" s="444"/>
      <c r="AS118" s="444"/>
      <c r="AT118" s="444"/>
      <c r="AU118" s="444"/>
      <c r="AV118" s="405"/>
      <c r="AW118" s="385">
        <f t="shared" si="104"/>
        <v>1.2281404977976214E-3</v>
      </c>
      <c r="AX118" s="167">
        <f t="shared" si="105"/>
        <v>0</v>
      </c>
    </row>
    <row r="119" spans="1:50">
      <c r="A119" s="87">
        <f t="shared" si="156"/>
        <v>4</v>
      </c>
      <c r="B119" s="86" t="s">
        <v>170</v>
      </c>
      <c r="C119" s="61"/>
      <c r="D119" s="64"/>
      <c r="E119" s="151">
        <v>26</v>
      </c>
      <c r="F119" s="140" t="s">
        <v>16</v>
      </c>
      <c r="G119" s="127">
        <f t="shared" si="157"/>
        <v>82000</v>
      </c>
      <c r="H119" s="116">
        <v>15000</v>
      </c>
      <c r="I119" s="116">
        <f t="shared" si="158"/>
        <v>97000</v>
      </c>
      <c r="J119" s="116">
        <f t="shared" si="159"/>
        <v>2132000</v>
      </c>
      <c r="K119" s="116">
        <f t="shared" si="152"/>
        <v>390000</v>
      </c>
      <c r="L119" s="116">
        <f t="shared" si="153"/>
        <v>2522000</v>
      </c>
      <c r="M119" s="114">
        <v>60000</v>
      </c>
      <c r="N119" s="124"/>
      <c r="O119" s="124"/>
      <c r="P119" s="124"/>
      <c r="Q119" s="166">
        <f>M119+I119</f>
        <v>157000</v>
      </c>
      <c r="R119" s="165">
        <f>Q119*E119</f>
        <v>4082000</v>
      </c>
      <c r="S119" s="605">
        <f t="shared" si="154"/>
        <v>2.9028775402489232E-3</v>
      </c>
      <c r="T119" s="444"/>
      <c r="U119" s="444"/>
      <c r="V119" s="444"/>
      <c r="W119" s="444"/>
      <c r="X119" s="444"/>
      <c r="Y119" s="444"/>
      <c r="Z119" s="444"/>
      <c r="AA119" s="444"/>
      <c r="AB119" s="444"/>
      <c r="AC119" s="444"/>
      <c r="AD119" s="444"/>
      <c r="AE119" s="444"/>
      <c r="AF119" s="444"/>
      <c r="AG119" s="444"/>
      <c r="AH119" s="444"/>
      <c r="AI119" s="444"/>
      <c r="AJ119" s="446">
        <f t="shared" si="160"/>
        <v>3.628596925311154E-4</v>
      </c>
      <c r="AK119" s="445">
        <f t="shared" ref="AK119:AQ119" si="163">AJ119</f>
        <v>3.628596925311154E-4</v>
      </c>
      <c r="AL119" s="445">
        <f t="shared" si="163"/>
        <v>3.628596925311154E-4</v>
      </c>
      <c r="AM119" s="445">
        <f t="shared" si="163"/>
        <v>3.628596925311154E-4</v>
      </c>
      <c r="AN119" s="445">
        <f t="shared" si="163"/>
        <v>3.628596925311154E-4</v>
      </c>
      <c r="AO119" s="445">
        <f t="shared" si="163"/>
        <v>3.628596925311154E-4</v>
      </c>
      <c r="AP119" s="445">
        <f t="shared" si="163"/>
        <v>3.628596925311154E-4</v>
      </c>
      <c r="AQ119" s="445">
        <f t="shared" si="163"/>
        <v>3.628596925311154E-4</v>
      </c>
      <c r="AR119" s="444"/>
      <c r="AS119" s="444"/>
      <c r="AT119" s="444"/>
      <c r="AU119" s="444"/>
      <c r="AV119" s="405"/>
      <c r="AW119" s="385">
        <f t="shared" si="104"/>
        <v>2.9028775402489232E-3</v>
      </c>
      <c r="AX119" s="167">
        <f t="shared" si="105"/>
        <v>0</v>
      </c>
    </row>
    <row r="120" spans="1:50" s="114" customFormat="1" ht="16" thickBot="1">
      <c r="A120" s="393"/>
      <c r="B120" s="394"/>
      <c r="C120" s="388"/>
      <c r="D120" s="389"/>
      <c r="E120" s="145">
        <v>0</v>
      </c>
      <c r="F120" s="396"/>
      <c r="G120" s="397">
        <v>0</v>
      </c>
      <c r="H120" s="398">
        <v>0</v>
      </c>
      <c r="I120" s="398">
        <f t="shared" si="158"/>
        <v>0</v>
      </c>
      <c r="J120" s="398">
        <f t="shared" si="159"/>
        <v>0</v>
      </c>
      <c r="K120" s="398">
        <f t="shared" si="152"/>
        <v>0</v>
      </c>
      <c r="L120" s="398">
        <f t="shared" si="153"/>
        <v>0</v>
      </c>
      <c r="Q120" s="167"/>
      <c r="R120" s="167"/>
      <c r="S120" s="609"/>
      <c r="T120" s="449"/>
      <c r="U120" s="449"/>
      <c r="V120" s="449"/>
      <c r="W120" s="449"/>
      <c r="X120" s="449"/>
      <c r="Y120" s="449"/>
      <c r="Z120" s="449"/>
      <c r="AA120" s="449"/>
      <c r="AB120" s="449"/>
      <c r="AC120" s="449"/>
      <c r="AD120" s="449"/>
      <c r="AE120" s="449"/>
      <c r="AF120" s="449"/>
      <c r="AG120" s="449"/>
      <c r="AH120" s="449"/>
      <c r="AI120" s="449"/>
      <c r="AJ120" s="449"/>
      <c r="AK120" s="449"/>
      <c r="AL120" s="449"/>
      <c r="AM120" s="449"/>
      <c r="AN120" s="449"/>
      <c r="AO120" s="449"/>
      <c r="AP120" s="449"/>
      <c r="AQ120" s="449"/>
      <c r="AR120" s="449"/>
      <c r="AS120" s="449"/>
      <c r="AT120" s="449"/>
      <c r="AU120" s="449"/>
      <c r="AV120" s="407"/>
      <c r="AW120" s="167">
        <f t="shared" si="104"/>
        <v>0</v>
      </c>
      <c r="AX120" s="167">
        <f t="shared" si="105"/>
        <v>0</v>
      </c>
    </row>
    <row r="121" spans="1:50" s="114" customFormat="1">
      <c r="A121" s="393"/>
      <c r="B121" s="394"/>
      <c r="C121" s="388"/>
      <c r="D121" s="389"/>
      <c r="E121" s="159"/>
      <c r="F121" s="395"/>
      <c r="G121" s="391"/>
      <c r="H121" s="188"/>
      <c r="I121" s="392"/>
      <c r="J121" s="392"/>
      <c r="K121" s="392"/>
      <c r="L121" s="392">
        <f>SUM(L116:L120)</f>
        <v>9700000</v>
      </c>
      <c r="Q121" s="170" t="s">
        <v>178</v>
      </c>
      <c r="R121" s="170">
        <f>SUM(R116:R120)</f>
        <v>15700000</v>
      </c>
      <c r="S121" s="609"/>
      <c r="T121" s="449"/>
      <c r="U121" s="449"/>
      <c r="V121" s="449"/>
      <c r="W121" s="449"/>
      <c r="X121" s="449"/>
      <c r="Y121" s="449"/>
      <c r="Z121" s="449"/>
      <c r="AA121" s="449"/>
      <c r="AB121" s="449"/>
      <c r="AC121" s="449"/>
      <c r="AD121" s="449"/>
      <c r="AE121" s="449"/>
      <c r="AF121" s="449"/>
      <c r="AG121" s="449"/>
      <c r="AH121" s="449"/>
      <c r="AI121" s="449"/>
      <c r="AJ121" s="449"/>
      <c r="AK121" s="449"/>
      <c r="AL121" s="449"/>
      <c r="AM121" s="449"/>
      <c r="AN121" s="449"/>
      <c r="AO121" s="449"/>
      <c r="AP121" s="449"/>
      <c r="AQ121" s="449"/>
      <c r="AR121" s="449"/>
      <c r="AS121" s="449"/>
      <c r="AT121" s="449"/>
      <c r="AU121" s="449"/>
      <c r="AV121" s="407"/>
      <c r="AW121" s="167">
        <f t="shared" si="104"/>
        <v>0</v>
      </c>
      <c r="AX121" s="167">
        <f t="shared" si="105"/>
        <v>0</v>
      </c>
    </row>
    <row r="122" spans="1:50">
      <c r="A122" s="88" t="s">
        <v>21</v>
      </c>
      <c r="B122" s="95" t="s">
        <v>12</v>
      </c>
      <c r="C122" s="162"/>
      <c r="D122" s="163"/>
      <c r="E122" s="151"/>
      <c r="F122" s="140"/>
      <c r="G122" s="131"/>
      <c r="H122" s="120"/>
      <c r="I122" s="120"/>
      <c r="J122" s="120"/>
      <c r="K122" s="120"/>
      <c r="L122" s="120"/>
      <c r="Q122" s="165"/>
      <c r="R122" s="165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05"/>
      <c r="AW122" s="385">
        <f t="shared" si="104"/>
        <v>0</v>
      </c>
      <c r="AX122" s="167">
        <f t="shared" si="105"/>
        <v>0</v>
      </c>
    </row>
    <row r="123" spans="1:50">
      <c r="A123" s="87">
        <v>1</v>
      </c>
      <c r="B123" s="86" t="s">
        <v>32</v>
      </c>
      <c r="C123" s="101"/>
      <c r="D123" s="102"/>
      <c r="E123" s="151">
        <v>126</v>
      </c>
      <c r="F123" s="140" t="s">
        <v>13</v>
      </c>
      <c r="G123" s="131">
        <v>125882</v>
      </c>
      <c r="H123" s="120">
        <v>10000</v>
      </c>
      <c r="I123" s="120">
        <f t="shared" ref="I123:I128" si="164">H123+G123</f>
        <v>135882</v>
      </c>
      <c r="J123" s="120">
        <f t="shared" ref="J123:J128" si="165">E123*G123</f>
        <v>15861132</v>
      </c>
      <c r="K123" s="120">
        <f t="shared" ref="K123:K128" si="166">E123*H123</f>
        <v>1260000</v>
      </c>
      <c r="L123" s="120">
        <f t="shared" ref="L123:L128" si="167">K123+J123</f>
        <v>17121132</v>
      </c>
      <c r="M123" s="114">
        <v>50000</v>
      </c>
      <c r="N123" s="124"/>
      <c r="O123" s="124"/>
      <c r="P123" s="124"/>
      <c r="Q123" s="166">
        <f>M123+I123</f>
        <v>185882</v>
      </c>
      <c r="R123" s="167">
        <f>Q123*E123</f>
        <v>23421132</v>
      </c>
      <c r="S123" s="605">
        <f t="shared" ref="S123:S127" si="168">R123/$R$6</f>
        <v>1.6655727106811697E-2</v>
      </c>
      <c r="T123" s="444"/>
      <c r="U123" s="444"/>
      <c r="V123" s="444"/>
      <c r="W123" s="444"/>
      <c r="X123" s="444"/>
      <c r="Y123" s="446">
        <f>S123/4</f>
        <v>4.1639317767029243E-3</v>
      </c>
      <c r="Z123" s="445">
        <f>Y123</f>
        <v>4.1639317767029243E-3</v>
      </c>
      <c r="AA123" s="445">
        <f>Z123</f>
        <v>4.1639317767029243E-3</v>
      </c>
      <c r="AB123" s="445">
        <f>AA123</f>
        <v>4.1639317767029243E-3</v>
      </c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05"/>
      <c r="AW123" s="385">
        <f t="shared" si="104"/>
        <v>1.6655727106811697E-2</v>
      </c>
      <c r="AX123" s="167">
        <f t="shared" si="105"/>
        <v>0</v>
      </c>
    </row>
    <row r="124" spans="1:50">
      <c r="A124" s="87">
        <f>A123+1</f>
        <v>2</v>
      </c>
      <c r="B124" s="86" t="s">
        <v>34</v>
      </c>
      <c r="C124" s="101"/>
      <c r="D124" s="102"/>
      <c r="E124" s="151">
        <v>108.5</v>
      </c>
      <c r="F124" s="140" t="s">
        <v>13</v>
      </c>
      <c r="G124" s="131">
        <v>95518</v>
      </c>
      <c r="H124" s="120">
        <v>10000</v>
      </c>
      <c r="I124" s="120">
        <f t="shared" si="164"/>
        <v>105518</v>
      </c>
      <c r="J124" s="120">
        <f t="shared" si="165"/>
        <v>10363703</v>
      </c>
      <c r="K124" s="120">
        <f t="shared" si="166"/>
        <v>1085000</v>
      </c>
      <c r="L124" s="120">
        <f t="shared" si="167"/>
        <v>11448703</v>
      </c>
      <c r="M124" s="114">
        <v>45000</v>
      </c>
      <c r="N124" s="124"/>
      <c r="O124" s="124"/>
      <c r="P124" s="124"/>
      <c r="Q124" s="166">
        <f>M124+I124</f>
        <v>150518</v>
      </c>
      <c r="R124" s="167">
        <f>Q124*E124</f>
        <v>16331203</v>
      </c>
      <c r="S124" s="605">
        <f t="shared" si="168"/>
        <v>1.1613787945601625E-2</v>
      </c>
      <c r="T124" s="444"/>
      <c r="U124" s="444"/>
      <c r="V124" s="444"/>
      <c r="W124" s="444"/>
      <c r="X124" s="444"/>
      <c r="Y124" s="446">
        <f t="shared" ref="Y124:Y127" si="169">S124/4</f>
        <v>2.9034469864004063E-3</v>
      </c>
      <c r="Z124" s="445">
        <f t="shared" ref="Z124:AB124" si="170">Y124</f>
        <v>2.9034469864004063E-3</v>
      </c>
      <c r="AA124" s="445">
        <f t="shared" si="170"/>
        <v>2.9034469864004063E-3</v>
      </c>
      <c r="AB124" s="445">
        <f t="shared" si="170"/>
        <v>2.9034469864004063E-3</v>
      </c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05"/>
      <c r="AW124" s="385">
        <f t="shared" si="104"/>
        <v>1.1613787945601625E-2</v>
      </c>
      <c r="AX124" s="167">
        <f t="shared" si="105"/>
        <v>0</v>
      </c>
    </row>
    <row r="125" spans="1:50">
      <c r="A125" s="87">
        <f t="shared" ref="A125:A127" si="171">A124+1</f>
        <v>3</v>
      </c>
      <c r="B125" s="86" t="s">
        <v>35</v>
      </c>
      <c r="C125" s="101"/>
      <c r="D125" s="102"/>
      <c r="E125" s="151">
        <v>133.30000000000001</v>
      </c>
      <c r="F125" s="140" t="s">
        <v>13</v>
      </c>
      <c r="G125" s="131">
        <v>29800</v>
      </c>
      <c r="H125" s="120">
        <v>10000</v>
      </c>
      <c r="I125" s="120">
        <f t="shared" si="164"/>
        <v>39800</v>
      </c>
      <c r="J125" s="120">
        <f t="shared" si="165"/>
        <v>3972340.0000000005</v>
      </c>
      <c r="K125" s="120">
        <f t="shared" si="166"/>
        <v>1333000</v>
      </c>
      <c r="L125" s="120">
        <f t="shared" si="167"/>
        <v>5305340</v>
      </c>
      <c r="M125" s="114">
        <v>22000</v>
      </c>
      <c r="N125" s="124"/>
      <c r="O125" s="124"/>
      <c r="P125" s="124"/>
      <c r="Q125" s="166">
        <f>M125+I125</f>
        <v>61800</v>
      </c>
      <c r="R125" s="167">
        <f>Q125*E125</f>
        <v>8237940.0000000009</v>
      </c>
      <c r="S125" s="605">
        <f t="shared" si="168"/>
        <v>5.8583368456438549E-3</v>
      </c>
      <c r="T125" s="444"/>
      <c r="U125" s="444"/>
      <c r="V125" s="444"/>
      <c r="W125" s="444"/>
      <c r="X125" s="444"/>
      <c r="Y125" s="446">
        <f t="shared" si="169"/>
        <v>1.4645842114109637E-3</v>
      </c>
      <c r="Z125" s="445">
        <f t="shared" ref="Z125:AB125" si="172">Y125</f>
        <v>1.4645842114109637E-3</v>
      </c>
      <c r="AA125" s="445">
        <f t="shared" si="172"/>
        <v>1.4645842114109637E-3</v>
      </c>
      <c r="AB125" s="445">
        <f t="shared" si="172"/>
        <v>1.4645842114109637E-3</v>
      </c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05"/>
      <c r="AW125" s="385">
        <f t="shared" si="104"/>
        <v>5.8583368456438549E-3</v>
      </c>
      <c r="AX125" s="167">
        <f t="shared" si="105"/>
        <v>0</v>
      </c>
    </row>
    <row r="126" spans="1:50">
      <c r="A126" s="87">
        <f t="shared" si="171"/>
        <v>4</v>
      </c>
      <c r="B126" s="86" t="s">
        <v>171</v>
      </c>
      <c r="C126" s="101"/>
      <c r="D126" s="102"/>
      <c r="E126" s="151">
        <f>E125/2</f>
        <v>66.650000000000006</v>
      </c>
      <c r="F126" s="140" t="s">
        <v>13</v>
      </c>
      <c r="G126" s="131">
        <v>19800</v>
      </c>
      <c r="H126" s="120">
        <v>10000</v>
      </c>
      <c r="I126" s="120">
        <f t="shared" si="164"/>
        <v>29800</v>
      </c>
      <c r="J126" s="120">
        <f t="shared" si="165"/>
        <v>1319670</v>
      </c>
      <c r="K126" s="120">
        <f t="shared" si="166"/>
        <v>666500</v>
      </c>
      <c r="L126" s="120">
        <f t="shared" si="167"/>
        <v>1986170</v>
      </c>
      <c r="M126" s="114">
        <v>18000</v>
      </c>
      <c r="N126" s="124"/>
      <c r="O126" s="124"/>
      <c r="P126" s="124"/>
      <c r="Q126" s="166">
        <f>M126+I126</f>
        <v>47800</v>
      </c>
      <c r="R126" s="167">
        <f>Q126*E126</f>
        <v>3185870.0000000005</v>
      </c>
      <c r="S126" s="605">
        <f t="shared" si="168"/>
        <v>2.2656027606939829E-3</v>
      </c>
      <c r="T126" s="444"/>
      <c r="U126" s="444"/>
      <c r="V126" s="444"/>
      <c r="W126" s="444"/>
      <c r="X126" s="444"/>
      <c r="Y126" s="446">
        <f t="shared" si="169"/>
        <v>5.6640069017349572E-4</v>
      </c>
      <c r="Z126" s="445">
        <f t="shared" ref="Z126:AB126" si="173">Y126</f>
        <v>5.6640069017349572E-4</v>
      </c>
      <c r="AA126" s="445">
        <f t="shared" si="173"/>
        <v>5.6640069017349572E-4</v>
      </c>
      <c r="AB126" s="445">
        <f t="shared" si="173"/>
        <v>5.6640069017349572E-4</v>
      </c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05"/>
      <c r="AW126" s="385">
        <f t="shared" si="104"/>
        <v>2.2656027606939829E-3</v>
      </c>
      <c r="AX126" s="167">
        <f t="shared" si="105"/>
        <v>0</v>
      </c>
    </row>
    <row r="127" spans="1:50">
      <c r="A127" s="87">
        <f t="shared" si="171"/>
        <v>5</v>
      </c>
      <c r="B127" s="86" t="s">
        <v>33</v>
      </c>
      <c r="C127" s="101"/>
      <c r="D127" s="102"/>
      <c r="E127" s="151">
        <f>0.75*15</f>
        <v>11.25</v>
      </c>
      <c r="F127" s="140" t="s">
        <v>13</v>
      </c>
      <c r="G127" s="131">
        <v>13300</v>
      </c>
      <c r="H127" s="120">
        <v>10000</v>
      </c>
      <c r="I127" s="120">
        <f t="shared" si="164"/>
        <v>23300</v>
      </c>
      <c r="J127" s="120">
        <f t="shared" si="165"/>
        <v>149625</v>
      </c>
      <c r="K127" s="120">
        <f t="shared" si="166"/>
        <v>112500</v>
      </c>
      <c r="L127" s="120">
        <f t="shared" si="167"/>
        <v>262125</v>
      </c>
      <c r="M127" s="114">
        <v>12000</v>
      </c>
      <c r="N127" s="124"/>
      <c r="O127" s="124"/>
      <c r="P127" s="124"/>
      <c r="Q127" s="166">
        <f>M127+I127</f>
        <v>35300</v>
      </c>
      <c r="R127" s="167">
        <f>Q127*E127</f>
        <v>397125</v>
      </c>
      <c r="S127" s="605">
        <f t="shared" si="168"/>
        <v>2.8241186750890585E-4</v>
      </c>
      <c r="T127" s="444"/>
      <c r="U127" s="444"/>
      <c r="V127" s="444"/>
      <c r="W127" s="444"/>
      <c r="X127" s="444"/>
      <c r="Y127" s="446">
        <f t="shared" si="169"/>
        <v>7.0602966877226462E-5</v>
      </c>
      <c r="Z127" s="445">
        <f t="shared" ref="Z127:AB127" si="174">Y127</f>
        <v>7.0602966877226462E-5</v>
      </c>
      <c r="AA127" s="445">
        <f t="shared" si="174"/>
        <v>7.0602966877226462E-5</v>
      </c>
      <c r="AB127" s="445">
        <f t="shared" si="174"/>
        <v>7.0602966877226462E-5</v>
      </c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05"/>
      <c r="AW127" s="385">
        <f t="shared" si="104"/>
        <v>2.8241186750890585E-4</v>
      </c>
      <c r="AX127" s="167">
        <f t="shared" si="105"/>
        <v>0</v>
      </c>
    </row>
    <row r="128" spans="1:50" s="114" customFormat="1" ht="16" thickBot="1">
      <c r="A128" s="393"/>
      <c r="B128" s="394"/>
      <c r="C128" s="388"/>
      <c r="D128" s="389"/>
      <c r="E128" s="145"/>
      <c r="F128" s="396"/>
      <c r="G128" s="397">
        <v>0</v>
      </c>
      <c r="H128" s="398">
        <v>0</v>
      </c>
      <c r="I128" s="398">
        <f t="shared" si="164"/>
        <v>0</v>
      </c>
      <c r="J128" s="398">
        <f t="shared" si="165"/>
        <v>0</v>
      </c>
      <c r="K128" s="398">
        <f t="shared" si="166"/>
        <v>0</v>
      </c>
      <c r="L128" s="398">
        <f t="shared" si="167"/>
        <v>0</v>
      </c>
      <c r="Q128" s="167"/>
      <c r="R128" s="167"/>
      <c r="S128" s="609"/>
      <c r="T128" s="449"/>
      <c r="U128" s="449"/>
      <c r="V128" s="449"/>
      <c r="W128" s="449"/>
      <c r="X128" s="449"/>
      <c r="Y128" s="449"/>
      <c r="Z128" s="449"/>
      <c r="AA128" s="449"/>
      <c r="AB128" s="449"/>
      <c r="AC128" s="449"/>
      <c r="AD128" s="449"/>
      <c r="AE128" s="449"/>
      <c r="AF128" s="449"/>
      <c r="AG128" s="449"/>
      <c r="AH128" s="449"/>
      <c r="AI128" s="449"/>
      <c r="AJ128" s="449"/>
      <c r="AK128" s="449"/>
      <c r="AL128" s="449"/>
      <c r="AM128" s="449"/>
      <c r="AN128" s="449"/>
      <c r="AO128" s="449"/>
      <c r="AP128" s="449"/>
      <c r="AQ128" s="449"/>
      <c r="AR128" s="449"/>
      <c r="AS128" s="449"/>
      <c r="AT128" s="449"/>
      <c r="AU128" s="449"/>
      <c r="AV128" s="407"/>
      <c r="AW128" s="167">
        <f t="shared" si="104"/>
        <v>0</v>
      </c>
      <c r="AX128" s="167">
        <f t="shared" si="105"/>
        <v>0</v>
      </c>
    </row>
    <row r="129" spans="1:50" s="114" customFormat="1">
      <c r="A129" s="393"/>
      <c r="B129" s="394"/>
      <c r="C129" s="388"/>
      <c r="D129" s="389"/>
      <c r="E129" s="159"/>
      <c r="F129" s="395"/>
      <c r="G129" s="391"/>
      <c r="H129" s="188"/>
      <c r="I129" s="392"/>
      <c r="J129" s="392"/>
      <c r="K129" s="392"/>
      <c r="L129" s="392">
        <f>SUM(L123:L128)</f>
        <v>36123470</v>
      </c>
      <c r="Q129" s="170" t="s">
        <v>178</v>
      </c>
      <c r="R129" s="170">
        <f>SUM(R123:R128)</f>
        <v>51573270</v>
      </c>
      <c r="S129" s="609"/>
      <c r="T129" s="449"/>
      <c r="U129" s="449"/>
      <c r="V129" s="449"/>
      <c r="W129" s="449"/>
      <c r="X129" s="449"/>
      <c r="Y129" s="449"/>
      <c r="Z129" s="449"/>
      <c r="AA129" s="449"/>
      <c r="AB129" s="449"/>
      <c r="AC129" s="449"/>
      <c r="AD129" s="449"/>
      <c r="AE129" s="449"/>
      <c r="AF129" s="449"/>
      <c r="AG129" s="449"/>
      <c r="AH129" s="449"/>
      <c r="AI129" s="449"/>
      <c r="AJ129" s="449"/>
      <c r="AK129" s="449"/>
      <c r="AL129" s="449"/>
      <c r="AM129" s="449"/>
      <c r="AN129" s="449"/>
      <c r="AO129" s="449"/>
      <c r="AP129" s="449"/>
      <c r="AQ129" s="449"/>
      <c r="AR129" s="449"/>
      <c r="AS129" s="449"/>
      <c r="AT129" s="449"/>
      <c r="AU129" s="449"/>
      <c r="AV129" s="407"/>
      <c r="AW129" s="167">
        <f t="shared" si="104"/>
        <v>0</v>
      </c>
      <c r="AX129" s="167">
        <f t="shared" si="105"/>
        <v>0</v>
      </c>
    </row>
    <row r="130" spans="1:50" s="114" customFormat="1">
      <c r="A130" s="393"/>
      <c r="B130" s="394"/>
      <c r="C130" s="388"/>
      <c r="D130" s="389"/>
      <c r="E130" s="159"/>
      <c r="F130" s="395"/>
      <c r="G130" s="391"/>
      <c r="H130" s="188"/>
      <c r="I130" s="392"/>
      <c r="J130" s="392"/>
      <c r="K130" s="392"/>
      <c r="L130" s="392"/>
      <c r="Q130" s="167"/>
      <c r="R130" s="167"/>
      <c r="S130" s="609"/>
      <c r="T130" s="449"/>
      <c r="U130" s="449"/>
      <c r="V130" s="449"/>
      <c r="W130" s="449"/>
      <c r="X130" s="449"/>
      <c r="Y130" s="449"/>
      <c r="Z130" s="449"/>
      <c r="AA130" s="449"/>
      <c r="AB130" s="449"/>
      <c r="AC130" s="449"/>
      <c r="AD130" s="449"/>
      <c r="AE130" s="449"/>
      <c r="AF130" s="449"/>
      <c r="AG130" s="449"/>
      <c r="AH130" s="449"/>
      <c r="AI130" s="449"/>
      <c r="AJ130" s="449"/>
      <c r="AK130" s="449"/>
      <c r="AL130" s="449"/>
      <c r="AM130" s="449"/>
      <c r="AN130" s="449"/>
      <c r="AO130" s="449"/>
      <c r="AP130" s="449"/>
      <c r="AQ130" s="449"/>
      <c r="AR130" s="449"/>
      <c r="AS130" s="449"/>
      <c r="AT130" s="449"/>
      <c r="AU130" s="449"/>
      <c r="AV130" s="407"/>
      <c r="AW130" s="167">
        <f t="shared" si="104"/>
        <v>0</v>
      </c>
      <c r="AX130" s="167">
        <f t="shared" si="105"/>
        <v>0</v>
      </c>
    </row>
    <row r="131" spans="1:50" s="114" customFormat="1">
      <c r="A131" s="393"/>
      <c r="B131" s="394"/>
      <c r="C131" s="388"/>
      <c r="D131" s="389"/>
      <c r="E131" s="151"/>
      <c r="F131" s="399"/>
      <c r="G131" s="400"/>
      <c r="H131" s="401"/>
      <c r="I131" s="401"/>
      <c r="J131" s="401"/>
      <c r="K131" s="401"/>
      <c r="L131" s="401"/>
      <c r="Q131" s="167"/>
      <c r="R131" s="167"/>
      <c r="S131" s="609"/>
      <c r="T131" s="449"/>
      <c r="U131" s="449"/>
      <c r="V131" s="449"/>
      <c r="W131" s="449"/>
      <c r="X131" s="449"/>
      <c r="Y131" s="449"/>
      <c r="Z131" s="449"/>
      <c r="AA131" s="449"/>
      <c r="AB131" s="449"/>
      <c r="AC131" s="449"/>
      <c r="AD131" s="449"/>
      <c r="AE131" s="449"/>
      <c r="AF131" s="449"/>
      <c r="AG131" s="449"/>
      <c r="AH131" s="449"/>
      <c r="AI131" s="449"/>
      <c r="AJ131" s="449"/>
      <c r="AK131" s="449"/>
      <c r="AL131" s="449"/>
      <c r="AM131" s="449"/>
      <c r="AN131" s="449"/>
      <c r="AO131" s="449"/>
      <c r="AP131" s="449"/>
      <c r="AQ131" s="449"/>
      <c r="AR131" s="449"/>
      <c r="AS131" s="449"/>
      <c r="AT131" s="449"/>
      <c r="AU131" s="449"/>
      <c r="AV131" s="407"/>
      <c r="AW131" s="167">
        <f t="shared" si="104"/>
        <v>0</v>
      </c>
      <c r="AX131" s="167">
        <f t="shared" si="105"/>
        <v>0</v>
      </c>
    </row>
    <row r="132" spans="1:50">
      <c r="A132" s="88" t="s">
        <v>22</v>
      </c>
      <c r="B132" s="95" t="s">
        <v>20</v>
      </c>
      <c r="C132" s="160"/>
      <c r="D132" s="164"/>
      <c r="E132" s="151"/>
      <c r="F132" s="140"/>
      <c r="G132" s="127"/>
      <c r="H132" s="116"/>
      <c r="I132" s="116"/>
      <c r="J132" s="116"/>
      <c r="K132" s="116"/>
      <c r="L132" s="116"/>
      <c r="Q132" s="165"/>
      <c r="R132" s="165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05"/>
      <c r="AW132" s="385">
        <f t="shared" si="104"/>
        <v>0</v>
      </c>
      <c r="AX132" s="167">
        <f t="shared" si="105"/>
        <v>0</v>
      </c>
    </row>
    <row r="133" spans="1:50">
      <c r="A133" s="87">
        <v>1</v>
      </c>
      <c r="B133" s="86" t="s">
        <v>189</v>
      </c>
      <c r="C133" s="61"/>
      <c r="D133" s="64"/>
      <c r="E133" s="151">
        <f>(512+585.6)*2</f>
        <v>2195.1999999999998</v>
      </c>
      <c r="F133" s="140" t="s">
        <v>72</v>
      </c>
      <c r="G133" s="127">
        <v>12645</v>
      </c>
      <c r="H133" s="116">
        <v>12195</v>
      </c>
      <c r="I133" s="116">
        <f t="shared" ref="I133:I139" si="175">H133+G133</f>
        <v>24840</v>
      </c>
      <c r="J133" s="116">
        <f t="shared" ref="J133:J139" si="176">E133*G133</f>
        <v>27758303.999999996</v>
      </c>
      <c r="K133" s="116">
        <f t="shared" ref="K133:K139" si="177">E133*H133</f>
        <v>26770463.999999996</v>
      </c>
      <c r="L133" s="116">
        <f t="shared" ref="L133:L139" si="178">K133+J133</f>
        <v>54528767.999999993</v>
      </c>
      <c r="M133" s="114">
        <v>12000</v>
      </c>
      <c r="N133" s="124"/>
      <c r="O133" s="124"/>
      <c r="P133" s="124"/>
      <c r="Q133" s="166">
        <f t="shared" ref="Q133:Q139" si="179">M133+I133</f>
        <v>36840</v>
      </c>
      <c r="R133" s="167">
        <f t="shared" ref="R133:R139" si="180">Q133*E133</f>
        <v>80871168</v>
      </c>
      <c r="S133" s="605">
        <f t="shared" ref="S133:S139" si="181">R133/$R$6</f>
        <v>5.7510802851763208E-2</v>
      </c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6">
        <f>S133/4</f>
        <v>1.4377700712940802E-2</v>
      </c>
      <c r="AQ133" s="446">
        <f>AP133</f>
        <v>1.4377700712940802E-2</v>
      </c>
      <c r="AR133" s="446">
        <f>AQ133</f>
        <v>1.4377700712940802E-2</v>
      </c>
      <c r="AS133" s="446">
        <f>AR133</f>
        <v>1.4377700712940802E-2</v>
      </c>
      <c r="AT133" s="444"/>
      <c r="AU133" s="444"/>
      <c r="AV133" s="405"/>
      <c r="AW133" s="385">
        <f t="shared" si="104"/>
        <v>5.7510802851763208E-2</v>
      </c>
      <c r="AX133" s="167">
        <f t="shared" si="105"/>
        <v>0</v>
      </c>
    </row>
    <row r="134" spans="1:50">
      <c r="A134" s="87">
        <f>A133+1</f>
        <v>2</v>
      </c>
      <c r="B134" s="86" t="s">
        <v>76</v>
      </c>
      <c r="C134" s="61"/>
      <c r="D134" s="64"/>
      <c r="E134" s="151">
        <f>(7.2*17.9)+(8.3*17.9)</f>
        <v>277.45</v>
      </c>
      <c r="F134" s="140" t="s">
        <v>14</v>
      </c>
      <c r="G134" s="127">
        <v>100000</v>
      </c>
      <c r="H134" s="116">
        <v>43000</v>
      </c>
      <c r="I134" s="116">
        <f t="shared" si="175"/>
        <v>143000</v>
      </c>
      <c r="J134" s="116">
        <f t="shared" si="176"/>
        <v>27745000</v>
      </c>
      <c r="K134" s="116">
        <f t="shared" si="177"/>
        <v>11930350</v>
      </c>
      <c r="L134" s="116">
        <f t="shared" si="178"/>
        <v>39675350</v>
      </c>
      <c r="M134" s="114">
        <v>50000</v>
      </c>
      <c r="N134" s="124"/>
      <c r="O134" s="124"/>
      <c r="P134" s="124"/>
      <c r="Q134" s="166">
        <f t="shared" si="179"/>
        <v>193000</v>
      </c>
      <c r="R134" s="167">
        <f t="shared" si="180"/>
        <v>53547850</v>
      </c>
      <c r="S134" s="605">
        <f t="shared" si="181"/>
        <v>3.8080071311518443E-2</v>
      </c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6">
        <f t="shared" ref="AP134:AP138" si="182">S134/4</f>
        <v>9.5200178278796108E-3</v>
      </c>
      <c r="AQ134" s="446">
        <f t="shared" ref="AQ134:AS134" si="183">AP134</f>
        <v>9.5200178278796108E-3</v>
      </c>
      <c r="AR134" s="446">
        <f t="shared" si="183"/>
        <v>9.5200178278796108E-3</v>
      </c>
      <c r="AS134" s="446">
        <f t="shared" si="183"/>
        <v>9.5200178278796108E-3</v>
      </c>
      <c r="AT134" s="444"/>
      <c r="AU134" s="444"/>
      <c r="AV134" s="405"/>
      <c r="AW134" s="385">
        <f t="shared" si="104"/>
        <v>3.8080071311518443E-2</v>
      </c>
      <c r="AX134" s="167">
        <f t="shared" si="105"/>
        <v>0</v>
      </c>
    </row>
    <row r="135" spans="1:50">
      <c r="A135" s="87">
        <f t="shared" ref="A135:A136" si="184">A134+1</f>
        <v>3</v>
      </c>
      <c r="B135" s="86" t="s">
        <v>77</v>
      </c>
      <c r="C135" s="61"/>
      <c r="D135" s="64"/>
      <c r="E135" s="157">
        <v>17.899999999999999</v>
      </c>
      <c r="F135" s="158" t="s">
        <v>13</v>
      </c>
      <c r="G135" s="128">
        <v>95700</v>
      </c>
      <c r="H135" s="117">
        <v>40000</v>
      </c>
      <c r="I135" s="116">
        <f t="shared" si="175"/>
        <v>135700</v>
      </c>
      <c r="J135" s="116">
        <f t="shared" si="176"/>
        <v>1713029.9999999998</v>
      </c>
      <c r="K135" s="116">
        <f t="shared" si="177"/>
        <v>716000</v>
      </c>
      <c r="L135" s="116">
        <f t="shared" si="178"/>
        <v>2429030</v>
      </c>
      <c r="M135" s="114">
        <v>45000</v>
      </c>
      <c r="N135" s="124"/>
      <c r="O135" s="124"/>
      <c r="P135" s="124"/>
      <c r="Q135" s="166">
        <f t="shared" si="179"/>
        <v>180700</v>
      </c>
      <c r="R135" s="167">
        <f t="shared" si="180"/>
        <v>3234529.9999999995</v>
      </c>
      <c r="S135" s="605">
        <f t="shared" si="181"/>
        <v>2.3002068814946958E-3</v>
      </c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6">
        <f t="shared" si="182"/>
        <v>5.7505172037367394E-4</v>
      </c>
      <c r="AQ135" s="446">
        <f t="shared" ref="AQ135:AS135" si="185">AP135</f>
        <v>5.7505172037367394E-4</v>
      </c>
      <c r="AR135" s="446">
        <f t="shared" si="185"/>
        <v>5.7505172037367394E-4</v>
      </c>
      <c r="AS135" s="446">
        <f t="shared" si="185"/>
        <v>5.7505172037367394E-4</v>
      </c>
      <c r="AT135" s="444"/>
      <c r="AU135" s="444"/>
      <c r="AV135" s="405"/>
      <c r="AW135" s="385">
        <f t="shared" si="104"/>
        <v>2.3002068814946958E-3</v>
      </c>
      <c r="AX135" s="167">
        <f t="shared" si="105"/>
        <v>0</v>
      </c>
    </row>
    <row r="136" spans="1:50">
      <c r="A136" s="87">
        <f t="shared" si="184"/>
        <v>4</v>
      </c>
      <c r="B136" s="86" t="s">
        <v>50</v>
      </c>
      <c r="C136" s="61"/>
      <c r="D136" s="64"/>
      <c r="E136" s="157">
        <f>E135*2</f>
        <v>35.799999999999997</v>
      </c>
      <c r="F136" s="158" t="s">
        <v>13</v>
      </c>
      <c r="G136" s="128">
        <v>75000</v>
      </c>
      <c r="H136" s="117">
        <v>20000</v>
      </c>
      <c r="I136" s="116">
        <f t="shared" si="175"/>
        <v>95000</v>
      </c>
      <c r="J136" s="116">
        <f t="shared" si="176"/>
        <v>2685000</v>
      </c>
      <c r="K136" s="116">
        <f t="shared" si="177"/>
        <v>716000</v>
      </c>
      <c r="L136" s="116">
        <f t="shared" si="178"/>
        <v>3401000</v>
      </c>
      <c r="M136" s="114">
        <v>35000</v>
      </c>
      <c r="N136" s="124"/>
      <c r="O136" s="124"/>
      <c r="P136" s="124"/>
      <c r="Q136" s="166">
        <f t="shared" si="179"/>
        <v>130000</v>
      </c>
      <c r="R136" s="167">
        <f t="shared" si="180"/>
        <v>4654000</v>
      </c>
      <c r="S136" s="605">
        <f t="shared" si="181"/>
        <v>3.3096501892010016E-3</v>
      </c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6">
        <f t="shared" si="182"/>
        <v>8.2741254730025039E-4</v>
      </c>
      <c r="AQ136" s="446">
        <f t="shared" ref="AQ136:AS136" si="186">AP136</f>
        <v>8.2741254730025039E-4</v>
      </c>
      <c r="AR136" s="446">
        <f t="shared" si="186"/>
        <v>8.2741254730025039E-4</v>
      </c>
      <c r="AS136" s="446">
        <f t="shared" si="186"/>
        <v>8.2741254730025039E-4</v>
      </c>
      <c r="AT136" s="444"/>
      <c r="AU136" s="444"/>
      <c r="AV136" s="405"/>
      <c r="AW136" s="385">
        <f t="shared" si="104"/>
        <v>3.3096501892010016E-3</v>
      </c>
      <c r="AX136" s="167">
        <f t="shared" si="105"/>
        <v>0</v>
      </c>
    </row>
    <row r="137" spans="1:50">
      <c r="A137" s="87">
        <v>5</v>
      </c>
      <c r="B137" s="86" t="s">
        <v>49</v>
      </c>
      <c r="C137" s="61"/>
      <c r="D137" s="64"/>
      <c r="E137" s="157">
        <v>31</v>
      </c>
      <c r="F137" s="158" t="s">
        <v>13</v>
      </c>
      <c r="G137" s="128">
        <v>52000</v>
      </c>
      <c r="H137" s="117">
        <v>20000</v>
      </c>
      <c r="I137" s="116">
        <f t="shared" si="175"/>
        <v>72000</v>
      </c>
      <c r="J137" s="116">
        <f t="shared" si="176"/>
        <v>1612000</v>
      </c>
      <c r="K137" s="116">
        <f t="shared" si="177"/>
        <v>620000</v>
      </c>
      <c r="L137" s="116">
        <f t="shared" si="178"/>
        <v>2232000</v>
      </c>
      <c r="M137" s="114">
        <v>35000</v>
      </c>
      <c r="N137" s="124"/>
      <c r="O137" s="124"/>
      <c r="P137" s="124"/>
      <c r="Q137" s="166">
        <f t="shared" si="179"/>
        <v>107000</v>
      </c>
      <c r="R137" s="167">
        <f t="shared" si="180"/>
        <v>3317000</v>
      </c>
      <c r="S137" s="605">
        <f t="shared" si="181"/>
        <v>2.3588546793252519E-3</v>
      </c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6">
        <f t="shared" si="182"/>
        <v>5.8971366983131298E-4</v>
      </c>
      <c r="AQ137" s="446">
        <f t="shared" ref="AQ137:AS137" si="187">AP137</f>
        <v>5.8971366983131298E-4</v>
      </c>
      <c r="AR137" s="446">
        <f t="shared" si="187"/>
        <v>5.8971366983131298E-4</v>
      </c>
      <c r="AS137" s="446">
        <f t="shared" si="187"/>
        <v>5.8971366983131298E-4</v>
      </c>
      <c r="AT137" s="444"/>
      <c r="AU137" s="444"/>
      <c r="AV137" s="405"/>
      <c r="AW137" s="385">
        <f t="shared" si="104"/>
        <v>2.3588546793252519E-3</v>
      </c>
      <c r="AX137" s="167">
        <f t="shared" si="105"/>
        <v>0</v>
      </c>
    </row>
    <row r="138" spans="1:50">
      <c r="A138" s="87">
        <v>6</v>
      </c>
      <c r="B138" s="86" t="s">
        <v>78</v>
      </c>
      <c r="C138" s="61"/>
      <c r="D138" s="64"/>
      <c r="E138" s="157">
        <f>(4.3*4.1)</f>
        <v>17.63</v>
      </c>
      <c r="F138" s="158" t="s">
        <v>14</v>
      </c>
      <c r="G138" s="128">
        <v>116600</v>
      </c>
      <c r="H138" s="117">
        <v>30000</v>
      </c>
      <c r="I138" s="116">
        <f t="shared" si="175"/>
        <v>146600</v>
      </c>
      <c r="J138" s="116">
        <f t="shared" si="176"/>
        <v>2055658</v>
      </c>
      <c r="K138" s="116">
        <f t="shared" si="177"/>
        <v>528900</v>
      </c>
      <c r="L138" s="116">
        <f t="shared" si="178"/>
        <v>2584558</v>
      </c>
      <c r="M138" s="114">
        <v>52000</v>
      </c>
      <c r="N138" s="124"/>
      <c r="O138" s="124"/>
      <c r="P138" s="124"/>
      <c r="Q138" s="166">
        <f t="shared" si="179"/>
        <v>198600</v>
      </c>
      <c r="R138" s="167">
        <f t="shared" si="180"/>
        <v>3501318</v>
      </c>
      <c r="S138" s="605">
        <f t="shared" si="181"/>
        <v>2.4899307651811069E-3</v>
      </c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6">
        <f t="shared" si="182"/>
        <v>6.2248269129527671E-4</v>
      </c>
      <c r="AQ138" s="446">
        <f t="shared" ref="AQ138:AS139" si="188">AP138</f>
        <v>6.2248269129527671E-4</v>
      </c>
      <c r="AR138" s="446">
        <f t="shared" si="188"/>
        <v>6.2248269129527671E-4</v>
      </c>
      <c r="AS138" s="446">
        <f t="shared" si="188"/>
        <v>6.2248269129527671E-4</v>
      </c>
      <c r="AT138" s="444"/>
      <c r="AU138" s="444"/>
      <c r="AV138" s="405"/>
      <c r="AW138" s="385">
        <f t="shared" si="104"/>
        <v>2.4899307651811069E-3</v>
      </c>
      <c r="AX138" s="167">
        <f t="shared" si="105"/>
        <v>0</v>
      </c>
    </row>
    <row r="139" spans="1:50">
      <c r="A139" s="87">
        <v>7</v>
      </c>
      <c r="B139" s="86" t="s">
        <v>79</v>
      </c>
      <c r="C139" s="61"/>
      <c r="D139" s="64"/>
      <c r="E139" s="157">
        <f>(4.3*4.1)</f>
        <v>17.63</v>
      </c>
      <c r="F139" s="158" t="s">
        <v>14</v>
      </c>
      <c r="G139" s="128">
        <v>125000</v>
      </c>
      <c r="H139" s="117">
        <v>50000</v>
      </c>
      <c r="I139" s="116">
        <f t="shared" si="175"/>
        <v>175000</v>
      </c>
      <c r="J139" s="116">
        <f t="shared" si="176"/>
        <v>2203750</v>
      </c>
      <c r="K139" s="116">
        <f t="shared" si="177"/>
        <v>881500</v>
      </c>
      <c r="L139" s="116">
        <f t="shared" si="178"/>
        <v>3085250</v>
      </c>
      <c r="M139" s="114">
        <v>60000</v>
      </c>
      <c r="N139" s="124"/>
      <c r="O139" s="124"/>
      <c r="P139" s="124"/>
      <c r="Q139" s="166">
        <f t="shared" si="179"/>
        <v>235000</v>
      </c>
      <c r="R139" s="167">
        <f t="shared" si="180"/>
        <v>4143049.9999999995</v>
      </c>
      <c r="S139" s="605">
        <f t="shared" si="181"/>
        <v>2.9462926979736156E-3</v>
      </c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6">
        <f t="shared" ref="AP139" si="189">S139/4</f>
        <v>7.3657317449340391E-4</v>
      </c>
      <c r="AQ139" s="446">
        <f t="shared" si="188"/>
        <v>7.3657317449340391E-4</v>
      </c>
      <c r="AR139" s="446">
        <f t="shared" si="188"/>
        <v>7.3657317449340391E-4</v>
      </c>
      <c r="AS139" s="446">
        <f t="shared" si="188"/>
        <v>7.3657317449340391E-4</v>
      </c>
      <c r="AT139" s="444"/>
      <c r="AU139" s="444"/>
      <c r="AV139" s="405"/>
      <c r="AW139" s="385">
        <f t="shared" si="104"/>
        <v>2.9462926979736156E-3</v>
      </c>
      <c r="AX139" s="167">
        <f t="shared" si="105"/>
        <v>0</v>
      </c>
    </row>
    <row r="140" spans="1:50" s="114" customFormat="1">
      <c r="A140" s="393"/>
      <c r="B140" s="394"/>
      <c r="C140" s="388"/>
      <c r="D140" s="389"/>
      <c r="E140" s="159"/>
      <c r="F140" s="395"/>
      <c r="G140" s="391"/>
      <c r="H140" s="188"/>
      <c r="I140" s="392"/>
      <c r="J140" s="392"/>
      <c r="K140" s="392"/>
      <c r="L140" s="392">
        <f>SUM(L133:L139)</f>
        <v>107935956</v>
      </c>
      <c r="Q140" s="170" t="s">
        <v>178</v>
      </c>
      <c r="R140" s="170">
        <f>SUM(R133:R139)</f>
        <v>153268916</v>
      </c>
      <c r="S140" s="609"/>
      <c r="T140" s="449"/>
      <c r="U140" s="449"/>
      <c r="V140" s="449"/>
      <c r="W140" s="449"/>
      <c r="X140" s="449"/>
      <c r="Y140" s="449"/>
      <c r="Z140" s="449"/>
      <c r="AA140" s="449"/>
      <c r="AB140" s="449"/>
      <c r="AC140" s="449"/>
      <c r="AD140" s="449"/>
      <c r="AE140" s="449"/>
      <c r="AF140" s="449"/>
      <c r="AG140" s="449"/>
      <c r="AH140" s="449"/>
      <c r="AI140" s="449"/>
      <c r="AJ140" s="449"/>
      <c r="AK140" s="449"/>
      <c r="AL140" s="449"/>
      <c r="AM140" s="449"/>
      <c r="AN140" s="449"/>
      <c r="AO140" s="449"/>
      <c r="AP140" s="449"/>
      <c r="AQ140" s="449"/>
      <c r="AR140" s="449"/>
      <c r="AS140" s="449"/>
      <c r="AT140" s="449"/>
      <c r="AU140" s="449"/>
      <c r="AV140" s="407"/>
      <c r="AW140" s="167">
        <f t="shared" si="104"/>
        <v>0</v>
      </c>
      <c r="AX140" s="167">
        <f t="shared" si="105"/>
        <v>0</v>
      </c>
    </row>
    <row r="141" spans="1:50" s="114" customFormat="1">
      <c r="A141" s="393"/>
      <c r="B141" s="394"/>
      <c r="C141" s="388"/>
      <c r="D141" s="389"/>
      <c r="E141" s="159"/>
      <c r="F141" s="395"/>
      <c r="G141" s="391"/>
      <c r="H141" s="188"/>
      <c r="I141" s="392"/>
      <c r="J141" s="392"/>
      <c r="K141" s="392"/>
      <c r="L141" s="392"/>
      <c r="Q141" s="170"/>
      <c r="R141" s="170"/>
      <c r="S141" s="609"/>
      <c r="T141" s="449"/>
      <c r="U141" s="449"/>
      <c r="V141" s="449"/>
      <c r="W141" s="449"/>
      <c r="X141" s="449"/>
      <c r="Y141" s="449"/>
      <c r="Z141" s="449"/>
      <c r="AA141" s="449"/>
      <c r="AB141" s="449"/>
      <c r="AC141" s="449"/>
      <c r="AD141" s="449"/>
      <c r="AE141" s="449"/>
      <c r="AF141" s="449"/>
      <c r="AG141" s="449"/>
      <c r="AH141" s="449"/>
      <c r="AI141" s="449"/>
      <c r="AJ141" s="449"/>
      <c r="AK141" s="449"/>
      <c r="AL141" s="449"/>
      <c r="AM141" s="449"/>
      <c r="AN141" s="449"/>
      <c r="AO141" s="449"/>
      <c r="AP141" s="449"/>
      <c r="AQ141" s="449"/>
      <c r="AR141" s="449"/>
      <c r="AS141" s="449"/>
      <c r="AT141" s="449"/>
      <c r="AU141" s="449"/>
      <c r="AV141" s="407"/>
      <c r="AW141" s="167">
        <f t="shared" si="104"/>
        <v>0</v>
      </c>
      <c r="AX141" s="167">
        <f t="shared" si="105"/>
        <v>0</v>
      </c>
    </row>
    <row r="142" spans="1:50">
      <c r="A142" s="177" t="s">
        <v>11</v>
      </c>
      <c r="B142" s="95" t="s">
        <v>192</v>
      </c>
      <c r="C142" s="175"/>
      <c r="D142" s="176"/>
      <c r="E142" s="159"/>
      <c r="F142" s="154"/>
      <c r="G142" s="134"/>
      <c r="H142" s="130"/>
      <c r="I142" s="119"/>
      <c r="J142" s="119"/>
      <c r="K142" s="119"/>
      <c r="L142" s="119"/>
      <c r="N142" s="96"/>
      <c r="O142" s="96"/>
      <c r="Q142" s="168"/>
      <c r="R142" s="169"/>
      <c r="T142" s="444"/>
      <c r="U142" s="444"/>
      <c r="V142" s="444"/>
      <c r="W142" s="444"/>
      <c r="X142" s="444"/>
      <c r="Y142" s="444"/>
      <c r="Z142" s="444"/>
      <c r="AA142" s="444"/>
      <c r="AB142" s="444"/>
      <c r="AC142" s="444"/>
      <c r="AD142" s="444"/>
      <c r="AE142" s="444"/>
      <c r="AF142" s="444"/>
      <c r="AG142" s="444"/>
      <c r="AH142" s="444"/>
      <c r="AI142" s="444"/>
      <c r="AJ142" s="444"/>
      <c r="AK142" s="444"/>
      <c r="AL142" s="444"/>
      <c r="AM142" s="444"/>
      <c r="AN142" s="444"/>
      <c r="AO142" s="444"/>
      <c r="AP142" s="444"/>
      <c r="AQ142" s="444"/>
      <c r="AR142" s="444"/>
      <c r="AS142" s="444"/>
      <c r="AT142" s="444"/>
      <c r="AU142" s="444"/>
      <c r="AV142" s="405"/>
      <c r="AW142" s="385">
        <f t="shared" si="104"/>
        <v>0</v>
      </c>
      <c r="AX142" s="167">
        <f t="shared" si="105"/>
        <v>0</v>
      </c>
    </row>
    <row r="143" spans="1:50">
      <c r="A143" s="87"/>
      <c r="B143" s="86" t="s">
        <v>191</v>
      </c>
      <c r="C143" s="61"/>
      <c r="D143" s="64"/>
      <c r="E143" s="171" t="s">
        <v>198</v>
      </c>
      <c r="F143" s="154" t="s">
        <v>15</v>
      </c>
      <c r="G143" s="116">
        <v>40000</v>
      </c>
      <c r="H143" s="116">
        <v>28000</v>
      </c>
      <c r="I143" s="172">
        <f>H143+G143</f>
        <v>68000</v>
      </c>
      <c r="J143" s="172">
        <f>G143*E143</f>
        <v>5204800</v>
      </c>
      <c r="K143" s="172">
        <f>H143*E143</f>
        <v>3643360</v>
      </c>
      <c r="L143" s="172">
        <f>J143+K143</f>
        <v>8848160</v>
      </c>
      <c r="M143" s="114">
        <v>45000</v>
      </c>
      <c r="N143" s="124"/>
      <c r="O143" s="124"/>
      <c r="P143" s="124"/>
      <c r="Q143" s="166">
        <f>I143+M143</f>
        <v>113000</v>
      </c>
      <c r="R143" s="166">
        <f>Q143*E143</f>
        <v>14703560</v>
      </c>
      <c r="S143" s="605">
        <f t="shared" ref="S143:S144" si="190">R143/$R$6</f>
        <v>1.0456304283611577E-2</v>
      </c>
      <c r="T143" s="444"/>
      <c r="U143" s="444"/>
      <c r="V143" s="444"/>
      <c r="W143" s="444"/>
      <c r="X143" s="444"/>
      <c r="Y143" s="444"/>
      <c r="Z143" s="444"/>
      <c r="AA143" s="444"/>
      <c r="AB143" s="444"/>
      <c r="AC143" s="444"/>
      <c r="AD143" s="444"/>
      <c r="AE143" s="444"/>
      <c r="AF143" s="444"/>
      <c r="AG143" s="444"/>
      <c r="AH143" s="444"/>
      <c r="AI143" s="444"/>
      <c r="AJ143" s="444"/>
      <c r="AK143" s="444"/>
      <c r="AL143" s="444"/>
      <c r="AM143" s="444"/>
      <c r="AN143" s="444"/>
      <c r="AO143" s="444"/>
      <c r="AP143" s="444"/>
      <c r="AQ143" s="444"/>
      <c r="AR143" s="444"/>
      <c r="AS143" s="444"/>
      <c r="AT143" s="445">
        <f>S143</f>
        <v>1.0456304283611577E-2</v>
      </c>
      <c r="AU143" s="444"/>
      <c r="AV143" s="405"/>
      <c r="AW143" s="385">
        <f t="shared" ref="AW143:AW152" si="191">SUM(T143:AU143)</f>
        <v>1.0456304283611577E-2</v>
      </c>
      <c r="AX143" s="167">
        <f t="shared" ref="AX143:AX152" si="192">S143-AW143</f>
        <v>0</v>
      </c>
    </row>
    <row r="144" spans="1:50" ht="16" thickBot="1">
      <c r="A144" s="87"/>
      <c r="B144" s="86" t="s">
        <v>190</v>
      </c>
      <c r="C144" s="61"/>
      <c r="D144" s="64"/>
      <c r="E144" s="159">
        <v>12</v>
      </c>
      <c r="F144" s="154" t="s">
        <v>14</v>
      </c>
      <c r="G144" s="173">
        <v>800000</v>
      </c>
      <c r="H144" s="173">
        <v>150000</v>
      </c>
      <c r="I144" s="174">
        <f>G144+H144</f>
        <v>950000</v>
      </c>
      <c r="J144" s="174">
        <f>G144*E144</f>
        <v>9600000</v>
      </c>
      <c r="K144" s="174">
        <f>H144*E144</f>
        <v>1800000</v>
      </c>
      <c r="L144" s="174">
        <f>J144+K144</f>
        <v>11400000</v>
      </c>
      <c r="M144" s="114">
        <v>50000</v>
      </c>
      <c r="N144" s="124"/>
      <c r="O144" s="124"/>
      <c r="P144" s="124"/>
      <c r="Q144" s="166">
        <f>I144+M144</f>
        <v>1000000</v>
      </c>
      <c r="R144" s="166">
        <f>Q144*E144</f>
        <v>12000000</v>
      </c>
      <c r="S144" s="605">
        <f t="shared" si="190"/>
        <v>8.5336919360575886E-3</v>
      </c>
      <c r="T144" s="444"/>
      <c r="U144" s="444"/>
      <c r="V144" s="444"/>
      <c r="W144" s="444"/>
      <c r="X144" s="444"/>
      <c r="Y144" s="444"/>
      <c r="Z144" s="444"/>
      <c r="AA144" s="444"/>
      <c r="AB144" s="444"/>
      <c r="AC144" s="444"/>
      <c r="AD144" s="444"/>
      <c r="AE144" s="444"/>
      <c r="AF144" s="444"/>
      <c r="AG144" s="444"/>
      <c r="AH144" s="444"/>
      <c r="AI144" s="444"/>
      <c r="AJ144" s="444"/>
      <c r="AK144" s="444"/>
      <c r="AL144" s="444"/>
      <c r="AM144" s="444"/>
      <c r="AN144" s="444"/>
      <c r="AO144" s="444"/>
      <c r="AP144" s="444"/>
      <c r="AQ144" s="444"/>
      <c r="AR144" s="444"/>
      <c r="AS144" s="444"/>
      <c r="AT144" s="445">
        <f>S144</f>
        <v>8.5336919360575886E-3</v>
      </c>
      <c r="AU144" s="444"/>
      <c r="AV144" s="405"/>
      <c r="AW144" s="385">
        <f t="shared" si="191"/>
        <v>8.5336919360575886E-3</v>
      </c>
      <c r="AX144" s="167">
        <f t="shared" si="192"/>
        <v>0</v>
      </c>
    </row>
    <row r="145" spans="1:50" s="114" customFormat="1">
      <c r="A145" s="393"/>
      <c r="B145" s="394"/>
      <c r="C145" s="388"/>
      <c r="D145" s="389"/>
      <c r="E145" s="151"/>
      <c r="F145" s="399"/>
      <c r="G145" s="391"/>
      <c r="H145" s="188"/>
      <c r="I145" s="188"/>
      <c r="J145" s="188"/>
      <c r="K145" s="188"/>
      <c r="L145" s="392">
        <f>SUM(L143:L144)</f>
        <v>20248160</v>
      </c>
      <c r="Q145" s="167"/>
      <c r="R145" s="170">
        <f>SUM(R143:R144)</f>
        <v>26703560</v>
      </c>
      <c r="S145" s="609"/>
      <c r="T145" s="449"/>
      <c r="U145" s="449"/>
      <c r="V145" s="449"/>
      <c r="W145" s="449"/>
      <c r="X145" s="449"/>
      <c r="Y145" s="449"/>
      <c r="Z145" s="449"/>
      <c r="AA145" s="449"/>
      <c r="AB145" s="449"/>
      <c r="AC145" s="449"/>
      <c r="AD145" s="449"/>
      <c r="AE145" s="449"/>
      <c r="AF145" s="449"/>
      <c r="AG145" s="449"/>
      <c r="AH145" s="449"/>
      <c r="AI145" s="449"/>
      <c r="AJ145" s="449"/>
      <c r="AK145" s="449"/>
      <c r="AL145" s="449"/>
      <c r="AM145" s="449"/>
      <c r="AN145" s="449"/>
      <c r="AO145" s="449"/>
      <c r="AP145" s="449"/>
      <c r="AQ145" s="449"/>
      <c r="AR145" s="449"/>
      <c r="AS145" s="449"/>
      <c r="AT145" s="449"/>
      <c r="AU145" s="449"/>
      <c r="AV145" s="407"/>
      <c r="AW145" s="167">
        <f t="shared" si="191"/>
        <v>0</v>
      </c>
      <c r="AX145" s="167">
        <f t="shared" si="192"/>
        <v>0</v>
      </c>
    </row>
    <row r="146" spans="1:50">
      <c r="A146" s="88" t="s">
        <v>31</v>
      </c>
      <c r="B146" s="95" t="s">
        <v>44</v>
      </c>
      <c r="C146" s="160"/>
      <c r="D146" s="164"/>
      <c r="E146" s="151"/>
      <c r="F146" s="140"/>
      <c r="G146" s="127"/>
      <c r="H146" s="116"/>
      <c r="I146" s="116"/>
      <c r="J146" s="116"/>
      <c r="K146" s="116"/>
      <c r="L146" s="116"/>
      <c r="Q146" s="165"/>
      <c r="R146" s="165"/>
      <c r="T146" s="444"/>
      <c r="U146" s="444"/>
      <c r="V146" s="444"/>
      <c r="W146" s="444"/>
      <c r="X146" s="444"/>
      <c r="Y146" s="444"/>
      <c r="Z146" s="444"/>
      <c r="AA146" s="444"/>
      <c r="AB146" s="444"/>
      <c r="AC146" s="444"/>
      <c r="AD146" s="444"/>
      <c r="AE146" s="444"/>
      <c r="AF146" s="444"/>
      <c r="AG146" s="444"/>
      <c r="AH146" s="444"/>
      <c r="AI146" s="444"/>
      <c r="AJ146" s="444"/>
      <c r="AK146" s="444"/>
      <c r="AL146" s="444"/>
      <c r="AM146" s="444"/>
      <c r="AN146" s="444"/>
      <c r="AO146" s="444"/>
      <c r="AP146" s="444"/>
      <c r="AQ146" s="444"/>
      <c r="AR146" s="444"/>
      <c r="AS146" s="444"/>
      <c r="AT146" s="444"/>
      <c r="AU146" s="444"/>
      <c r="AV146" s="405"/>
      <c r="AW146" s="385">
        <f t="shared" si="191"/>
        <v>0</v>
      </c>
      <c r="AX146" s="167">
        <f t="shared" si="192"/>
        <v>0</v>
      </c>
    </row>
    <row r="147" spans="1:50">
      <c r="A147" s="87">
        <v>1</v>
      </c>
      <c r="B147" s="86" t="s">
        <v>241</v>
      </c>
      <c r="C147" s="61"/>
      <c r="D147" s="64"/>
      <c r="E147" s="151">
        <v>5</v>
      </c>
      <c r="F147" s="140" t="s">
        <v>56</v>
      </c>
      <c r="G147" s="127">
        <v>2500000</v>
      </c>
      <c r="H147" s="116">
        <v>0</v>
      </c>
      <c r="I147" s="116">
        <f t="shared" ref="I147:I155" si="193">H147+G147</f>
        <v>2500000</v>
      </c>
      <c r="J147" s="116">
        <f t="shared" ref="J147:J155" si="194">E147*G147</f>
        <v>12500000</v>
      </c>
      <c r="K147" s="116">
        <f t="shared" ref="K147:K155" si="195">E147*H147</f>
        <v>0</v>
      </c>
      <c r="L147" s="116">
        <f t="shared" ref="L147:L155" si="196">K147+J147</f>
        <v>12500000</v>
      </c>
      <c r="M147" s="114">
        <v>750000</v>
      </c>
      <c r="N147" s="124"/>
      <c r="O147" s="124"/>
      <c r="P147" s="124"/>
      <c r="Q147" s="166">
        <f t="shared" ref="Q147:Q152" si="197">M147+I147</f>
        <v>3250000</v>
      </c>
      <c r="R147" s="167">
        <f t="shared" ref="R147:R152" si="198">Q147*E147</f>
        <v>16250000</v>
      </c>
      <c r="S147" s="605">
        <f t="shared" ref="S147:S152" si="199">R147/$R$6</f>
        <v>1.1556041163411319E-2</v>
      </c>
      <c r="T147" s="446">
        <f>S147/28</f>
        <v>4.1271575583611854E-4</v>
      </c>
      <c r="U147" s="446">
        <f t="shared" ref="U147:U152" si="200">T147</f>
        <v>4.1271575583611854E-4</v>
      </c>
      <c r="V147" s="446">
        <f t="shared" ref="V147:AU152" si="201">U147</f>
        <v>4.1271575583611854E-4</v>
      </c>
      <c r="W147" s="446">
        <f t="shared" si="201"/>
        <v>4.1271575583611854E-4</v>
      </c>
      <c r="X147" s="446">
        <f t="shared" si="201"/>
        <v>4.1271575583611854E-4</v>
      </c>
      <c r="Y147" s="446">
        <f t="shared" si="201"/>
        <v>4.1271575583611854E-4</v>
      </c>
      <c r="Z147" s="446">
        <f t="shared" si="201"/>
        <v>4.1271575583611854E-4</v>
      </c>
      <c r="AA147" s="446">
        <f t="shared" si="201"/>
        <v>4.1271575583611854E-4</v>
      </c>
      <c r="AB147" s="446">
        <f t="shared" si="201"/>
        <v>4.1271575583611854E-4</v>
      </c>
      <c r="AC147" s="446">
        <f t="shared" si="201"/>
        <v>4.1271575583611854E-4</v>
      </c>
      <c r="AD147" s="446">
        <f t="shared" si="201"/>
        <v>4.1271575583611854E-4</v>
      </c>
      <c r="AE147" s="446">
        <f t="shared" si="201"/>
        <v>4.1271575583611854E-4</v>
      </c>
      <c r="AF147" s="446">
        <f t="shared" si="201"/>
        <v>4.1271575583611854E-4</v>
      </c>
      <c r="AG147" s="446">
        <f t="shared" si="201"/>
        <v>4.1271575583611854E-4</v>
      </c>
      <c r="AH147" s="446">
        <f t="shared" si="201"/>
        <v>4.1271575583611854E-4</v>
      </c>
      <c r="AI147" s="446">
        <f t="shared" si="201"/>
        <v>4.1271575583611854E-4</v>
      </c>
      <c r="AJ147" s="446">
        <f t="shared" si="201"/>
        <v>4.1271575583611854E-4</v>
      </c>
      <c r="AK147" s="446">
        <f t="shared" si="201"/>
        <v>4.1271575583611854E-4</v>
      </c>
      <c r="AL147" s="446">
        <f t="shared" si="201"/>
        <v>4.1271575583611854E-4</v>
      </c>
      <c r="AM147" s="446">
        <f t="shared" si="201"/>
        <v>4.1271575583611854E-4</v>
      </c>
      <c r="AN147" s="446">
        <f t="shared" si="201"/>
        <v>4.1271575583611854E-4</v>
      </c>
      <c r="AO147" s="446">
        <f t="shared" si="201"/>
        <v>4.1271575583611854E-4</v>
      </c>
      <c r="AP147" s="446">
        <f t="shared" si="201"/>
        <v>4.1271575583611854E-4</v>
      </c>
      <c r="AQ147" s="446">
        <f t="shared" si="201"/>
        <v>4.1271575583611854E-4</v>
      </c>
      <c r="AR147" s="446">
        <f t="shared" si="201"/>
        <v>4.1271575583611854E-4</v>
      </c>
      <c r="AS147" s="446">
        <f t="shared" si="201"/>
        <v>4.1271575583611854E-4</v>
      </c>
      <c r="AT147" s="446">
        <f t="shared" si="201"/>
        <v>4.1271575583611854E-4</v>
      </c>
      <c r="AU147" s="446">
        <f t="shared" si="201"/>
        <v>4.1271575583611854E-4</v>
      </c>
      <c r="AV147" s="406"/>
      <c r="AW147" s="385">
        <f t="shared" si="191"/>
        <v>1.155604116341132E-2</v>
      </c>
      <c r="AX147" s="167">
        <f t="shared" si="192"/>
        <v>0</v>
      </c>
    </row>
    <row r="148" spans="1:50">
      <c r="A148" s="87">
        <f t="shared" ref="A148:A152" si="202">A147+1</f>
        <v>2</v>
      </c>
      <c r="B148" s="86" t="s">
        <v>164</v>
      </c>
      <c r="C148" s="61"/>
      <c r="D148" s="64"/>
      <c r="E148" s="151">
        <v>6</v>
      </c>
      <c r="F148" s="140" t="s">
        <v>56</v>
      </c>
      <c r="G148" s="127">
        <v>550000</v>
      </c>
      <c r="H148" s="116">
        <v>2700000</v>
      </c>
      <c r="I148" s="116">
        <f t="shared" si="193"/>
        <v>3250000</v>
      </c>
      <c r="J148" s="116">
        <f t="shared" si="194"/>
        <v>3300000</v>
      </c>
      <c r="K148" s="116">
        <f t="shared" si="195"/>
        <v>16200000</v>
      </c>
      <c r="L148" s="116">
        <f t="shared" si="196"/>
        <v>19500000</v>
      </c>
      <c r="M148" s="114">
        <v>975000</v>
      </c>
      <c r="N148" s="124"/>
      <c r="O148" s="124"/>
      <c r="P148" s="124"/>
      <c r="Q148" s="166">
        <f t="shared" si="197"/>
        <v>4225000</v>
      </c>
      <c r="R148" s="167">
        <f t="shared" si="198"/>
        <v>25350000</v>
      </c>
      <c r="S148" s="605">
        <f t="shared" si="199"/>
        <v>1.8027424214921657E-2</v>
      </c>
      <c r="T148" s="446">
        <f>S148/2</f>
        <v>9.0137121074608285E-3</v>
      </c>
      <c r="U148" s="446">
        <f t="shared" si="200"/>
        <v>9.0137121074608285E-3</v>
      </c>
      <c r="V148" s="444"/>
      <c r="W148" s="444"/>
      <c r="X148" s="444"/>
      <c r="Y148" s="444"/>
      <c r="Z148" s="444"/>
      <c r="AA148" s="444"/>
      <c r="AB148" s="444"/>
      <c r="AC148" s="444"/>
      <c r="AD148" s="444"/>
      <c r="AE148" s="444"/>
      <c r="AF148" s="444"/>
      <c r="AG148" s="444"/>
      <c r="AH148" s="444"/>
      <c r="AI148" s="444"/>
      <c r="AJ148" s="444"/>
      <c r="AK148" s="444"/>
      <c r="AL148" s="444"/>
      <c r="AM148" s="444"/>
      <c r="AN148" s="444"/>
      <c r="AO148" s="444"/>
      <c r="AP148" s="444"/>
      <c r="AQ148" s="444"/>
      <c r="AR148" s="444"/>
      <c r="AS148" s="444"/>
      <c r="AT148" s="444"/>
      <c r="AU148" s="444"/>
      <c r="AV148" s="405"/>
      <c r="AW148" s="385">
        <f t="shared" si="191"/>
        <v>1.8027424214921657E-2</v>
      </c>
      <c r="AX148" s="167">
        <f t="shared" si="192"/>
        <v>0</v>
      </c>
    </row>
    <row r="149" spans="1:50">
      <c r="A149" s="87">
        <v>4</v>
      </c>
      <c r="B149" s="86" t="s">
        <v>166</v>
      </c>
      <c r="C149" s="61"/>
      <c r="D149" s="64"/>
      <c r="E149" s="157">
        <v>1</v>
      </c>
      <c r="F149" s="158" t="s">
        <v>56</v>
      </c>
      <c r="G149" s="128"/>
      <c r="H149" s="117">
        <v>15000000</v>
      </c>
      <c r="I149" s="117">
        <f t="shared" si="193"/>
        <v>15000000</v>
      </c>
      <c r="J149" s="116">
        <f t="shared" si="194"/>
        <v>0</v>
      </c>
      <c r="K149" s="116">
        <f t="shared" si="195"/>
        <v>15000000</v>
      </c>
      <c r="L149" s="116">
        <f t="shared" si="196"/>
        <v>15000000</v>
      </c>
      <c r="M149" s="114"/>
      <c r="N149" s="124"/>
      <c r="O149" s="124"/>
      <c r="P149" s="124"/>
      <c r="Q149" s="166">
        <f t="shared" si="197"/>
        <v>15000000</v>
      </c>
      <c r="R149" s="167">
        <f t="shared" si="198"/>
        <v>15000000</v>
      </c>
      <c r="S149" s="605">
        <f t="shared" si="199"/>
        <v>1.0667114920071986E-2</v>
      </c>
      <c r="T149" s="446">
        <f>S149/28</f>
        <v>3.809683900025709E-4</v>
      </c>
      <c r="U149" s="446">
        <f t="shared" si="200"/>
        <v>3.809683900025709E-4</v>
      </c>
      <c r="V149" s="446">
        <f t="shared" si="201"/>
        <v>3.809683900025709E-4</v>
      </c>
      <c r="W149" s="446">
        <f t="shared" si="201"/>
        <v>3.809683900025709E-4</v>
      </c>
      <c r="X149" s="446">
        <f t="shared" si="201"/>
        <v>3.809683900025709E-4</v>
      </c>
      <c r="Y149" s="446">
        <f t="shared" si="201"/>
        <v>3.809683900025709E-4</v>
      </c>
      <c r="Z149" s="446">
        <f t="shared" si="201"/>
        <v>3.809683900025709E-4</v>
      </c>
      <c r="AA149" s="446">
        <f t="shared" si="201"/>
        <v>3.809683900025709E-4</v>
      </c>
      <c r="AB149" s="446">
        <f t="shared" si="201"/>
        <v>3.809683900025709E-4</v>
      </c>
      <c r="AC149" s="446">
        <f t="shared" si="201"/>
        <v>3.809683900025709E-4</v>
      </c>
      <c r="AD149" s="446">
        <f t="shared" si="201"/>
        <v>3.809683900025709E-4</v>
      </c>
      <c r="AE149" s="446">
        <f t="shared" si="201"/>
        <v>3.809683900025709E-4</v>
      </c>
      <c r="AF149" s="446">
        <f t="shared" si="201"/>
        <v>3.809683900025709E-4</v>
      </c>
      <c r="AG149" s="446">
        <f t="shared" si="201"/>
        <v>3.809683900025709E-4</v>
      </c>
      <c r="AH149" s="446">
        <f t="shared" si="201"/>
        <v>3.809683900025709E-4</v>
      </c>
      <c r="AI149" s="446">
        <f t="shared" si="201"/>
        <v>3.809683900025709E-4</v>
      </c>
      <c r="AJ149" s="446">
        <f t="shared" si="201"/>
        <v>3.809683900025709E-4</v>
      </c>
      <c r="AK149" s="446">
        <f t="shared" si="201"/>
        <v>3.809683900025709E-4</v>
      </c>
      <c r="AL149" s="446">
        <f t="shared" si="201"/>
        <v>3.809683900025709E-4</v>
      </c>
      <c r="AM149" s="446">
        <f t="shared" si="201"/>
        <v>3.809683900025709E-4</v>
      </c>
      <c r="AN149" s="446">
        <f t="shared" si="201"/>
        <v>3.809683900025709E-4</v>
      </c>
      <c r="AO149" s="446">
        <f t="shared" si="201"/>
        <v>3.809683900025709E-4</v>
      </c>
      <c r="AP149" s="446">
        <f t="shared" si="201"/>
        <v>3.809683900025709E-4</v>
      </c>
      <c r="AQ149" s="446">
        <f t="shared" si="201"/>
        <v>3.809683900025709E-4</v>
      </c>
      <c r="AR149" s="446">
        <f t="shared" si="201"/>
        <v>3.809683900025709E-4</v>
      </c>
      <c r="AS149" s="446">
        <f t="shared" si="201"/>
        <v>3.809683900025709E-4</v>
      </c>
      <c r="AT149" s="446">
        <f t="shared" si="201"/>
        <v>3.809683900025709E-4</v>
      </c>
      <c r="AU149" s="446">
        <f t="shared" si="201"/>
        <v>3.809683900025709E-4</v>
      </c>
      <c r="AV149" s="406"/>
      <c r="AW149" s="385">
        <f t="shared" si="191"/>
        <v>1.0667114920071984E-2</v>
      </c>
      <c r="AX149" s="167">
        <f t="shared" si="192"/>
        <v>0</v>
      </c>
    </row>
    <row r="150" spans="1:50">
      <c r="A150" s="87">
        <f t="shared" si="202"/>
        <v>5</v>
      </c>
      <c r="B150" s="86" t="s">
        <v>175</v>
      </c>
      <c r="C150" s="61"/>
      <c r="D150" s="64"/>
      <c r="E150" s="157">
        <v>31</v>
      </c>
      <c r="F150" s="158" t="s">
        <v>56</v>
      </c>
      <c r="G150" s="128">
        <v>50000</v>
      </c>
      <c r="H150" s="117">
        <v>10000</v>
      </c>
      <c r="I150" s="117">
        <f t="shared" si="193"/>
        <v>60000</v>
      </c>
      <c r="J150" s="116">
        <f t="shared" si="194"/>
        <v>1550000</v>
      </c>
      <c r="K150" s="116">
        <f t="shared" si="195"/>
        <v>310000</v>
      </c>
      <c r="L150" s="116">
        <f t="shared" si="196"/>
        <v>1860000</v>
      </c>
      <c r="M150" s="114">
        <v>18000</v>
      </c>
      <c r="N150" s="124"/>
      <c r="O150" s="124"/>
      <c r="P150" s="124"/>
      <c r="Q150" s="166">
        <f t="shared" si="197"/>
        <v>78000</v>
      </c>
      <c r="R150" s="167">
        <f t="shared" si="198"/>
        <v>2418000</v>
      </c>
      <c r="S150" s="605">
        <f t="shared" si="199"/>
        <v>1.7195389251156042E-3</v>
      </c>
      <c r="T150" s="446">
        <f>S150/28</f>
        <v>6.1412104468414429E-5</v>
      </c>
      <c r="U150" s="446">
        <f t="shared" si="200"/>
        <v>6.1412104468414429E-5</v>
      </c>
      <c r="V150" s="446">
        <f t="shared" si="201"/>
        <v>6.1412104468414429E-5</v>
      </c>
      <c r="W150" s="446">
        <f t="shared" si="201"/>
        <v>6.1412104468414429E-5</v>
      </c>
      <c r="X150" s="446">
        <f t="shared" si="201"/>
        <v>6.1412104468414429E-5</v>
      </c>
      <c r="Y150" s="446">
        <f t="shared" si="201"/>
        <v>6.1412104468414429E-5</v>
      </c>
      <c r="Z150" s="446">
        <f t="shared" si="201"/>
        <v>6.1412104468414429E-5</v>
      </c>
      <c r="AA150" s="446">
        <f t="shared" si="201"/>
        <v>6.1412104468414429E-5</v>
      </c>
      <c r="AB150" s="446">
        <f t="shared" si="201"/>
        <v>6.1412104468414429E-5</v>
      </c>
      <c r="AC150" s="446">
        <f t="shared" si="201"/>
        <v>6.1412104468414429E-5</v>
      </c>
      <c r="AD150" s="446">
        <f t="shared" si="201"/>
        <v>6.1412104468414429E-5</v>
      </c>
      <c r="AE150" s="446">
        <f t="shared" si="201"/>
        <v>6.1412104468414429E-5</v>
      </c>
      <c r="AF150" s="446">
        <f t="shared" si="201"/>
        <v>6.1412104468414429E-5</v>
      </c>
      <c r="AG150" s="446">
        <f t="shared" si="201"/>
        <v>6.1412104468414429E-5</v>
      </c>
      <c r="AH150" s="446">
        <f t="shared" si="201"/>
        <v>6.1412104468414429E-5</v>
      </c>
      <c r="AI150" s="446">
        <f t="shared" si="201"/>
        <v>6.1412104468414429E-5</v>
      </c>
      <c r="AJ150" s="446">
        <f t="shared" si="201"/>
        <v>6.1412104468414429E-5</v>
      </c>
      <c r="AK150" s="446">
        <f t="shared" si="201"/>
        <v>6.1412104468414429E-5</v>
      </c>
      <c r="AL150" s="446">
        <f t="shared" si="201"/>
        <v>6.1412104468414429E-5</v>
      </c>
      <c r="AM150" s="446">
        <f t="shared" si="201"/>
        <v>6.1412104468414429E-5</v>
      </c>
      <c r="AN150" s="446">
        <f t="shared" si="201"/>
        <v>6.1412104468414429E-5</v>
      </c>
      <c r="AO150" s="446">
        <f t="shared" si="201"/>
        <v>6.1412104468414429E-5</v>
      </c>
      <c r="AP150" s="446">
        <f t="shared" si="201"/>
        <v>6.1412104468414429E-5</v>
      </c>
      <c r="AQ150" s="446">
        <f t="shared" si="201"/>
        <v>6.1412104468414429E-5</v>
      </c>
      <c r="AR150" s="446">
        <f t="shared" si="201"/>
        <v>6.1412104468414429E-5</v>
      </c>
      <c r="AS150" s="446">
        <f t="shared" si="201"/>
        <v>6.1412104468414429E-5</v>
      </c>
      <c r="AT150" s="446">
        <f t="shared" si="201"/>
        <v>6.1412104468414429E-5</v>
      </c>
      <c r="AU150" s="446">
        <f t="shared" si="201"/>
        <v>6.1412104468414429E-5</v>
      </c>
      <c r="AV150" s="406"/>
      <c r="AW150" s="385">
        <f t="shared" si="191"/>
        <v>1.7195389251156042E-3</v>
      </c>
      <c r="AX150" s="167">
        <f t="shared" si="192"/>
        <v>0</v>
      </c>
    </row>
    <row r="151" spans="1:50">
      <c r="A151" s="87">
        <f t="shared" si="202"/>
        <v>6</v>
      </c>
      <c r="B151" s="86" t="s">
        <v>176</v>
      </c>
      <c r="C151" s="61"/>
      <c r="D151" s="64"/>
      <c r="E151" s="157">
        <v>7</v>
      </c>
      <c r="F151" s="158" t="s">
        <v>56</v>
      </c>
      <c r="G151" s="128">
        <v>50000</v>
      </c>
      <c r="H151" s="117">
        <v>10000</v>
      </c>
      <c r="I151" s="117">
        <f t="shared" si="193"/>
        <v>60000</v>
      </c>
      <c r="J151" s="117">
        <f t="shared" si="194"/>
        <v>350000</v>
      </c>
      <c r="K151" s="117">
        <f t="shared" si="195"/>
        <v>70000</v>
      </c>
      <c r="L151" s="117">
        <f t="shared" si="196"/>
        <v>420000</v>
      </c>
      <c r="M151" s="114">
        <v>18000</v>
      </c>
      <c r="N151" s="124"/>
      <c r="O151" s="124"/>
      <c r="P151" s="124"/>
      <c r="Q151" s="166">
        <f t="shared" si="197"/>
        <v>78000</v>
      </c>
      <c r="R151" s="167">
        <f t="shared" si="198"/>
        <v>546000</v>
      </c>
      <c r="S151" s="605">
        <f t="shared" si="199"/>
        <v>3.882829830906203E-4</v>
      </c>
      <c r="T151" s="446">
        <f>S151/28</f>
        <v>1.3867249396093583E-5</v>
      </c>
      <c r="U151" s="446">
        <f t="shared" si="200"/>
        <v>1.3867249396093583E-5</v>
      </c>
      <c r="V151" s="446">
        <f t="shared" si="201"/>
        <v>1.3867249396093583E-5</v>
      </c>
      <c r="W151" s="446">
        <f t="shared" si="201"/>
        <v>1.3867249396093583E-5</v>
      </c>
      <c r="X151" s="446">
        <f t="shared" si="201"/>
        <v>1.3867249396093583E-5</v>
      </c>
      <c r="Y151" s="446">
        <f t="shared" si="201"/>
        <v>1.3867249396093583E-5</v>
      </c>
      <c r="Z151" s="446">
        <f t="shared" si="201"/>
        <v>1.3867249396093583E-5</v>
      </c>
      <c r="AA151" s="446">
        <f t="shared" si="201"/>
        <v>1.3867249396093583E-5</v>
      </c>
      <c r="AB151" s="446">
        <f t="shared" si="201"/>
        <v>1.3867249396093583E-5</v>
      </c>
      <c r="AC151" s="446">
        <f t="shared" si="201"/>
        <v>1.3867249396093583E-5</v>
      </c>
      <c r="AD151" s="446">
        <f t="shared" si="201"/>
        <v>1.3867249396093583E-5</v>
      </c>
      <c r="AE151" s="446">
        <f t="shared" si="201"/>
        <v>1.3867249396093583E-5</v>
      </c>
      <c r="AF151" s="446">
        <f t="shared" si="201"/>
        <v>1.3867249396093583E-5</v>
      </c>
      <c r="AG151" s="446">
        <f t="shared" si="201"/>
        <v>1.3867249396093583E-5</v>
      </c>
      <c r="AH151" s="446">
        <f t="shared" si="201"/>
        <v>1.3867249396093583E-5</v>
      </c>
      <c r="AI151" s="446">
        <f t="shared" si="201"/>
        <v>1.3867249396093583E-5</v>
      </c>
      <c r="AJ151" s="446">
        <f t="shared" si="201"/>
        <v>1.3867249396093583E-5</v>
      </c>
      <c r="AK151" s="446">
        <f t="shared" si="201"/>
        <v>1.3867249396093583E-5</v>
      </c>
      <c r="AL151" s="446">
        <f t="shared" si="201"/>
        <v>1.3867249396093583E-5</v>
      </c>
      <c r="AM151" s="446">
        <f t="shared" si="201"/>
        <v>1.3867249396093583E-5</v>
      </c>
      <c r="AN151" s="446">
        <f t="shared" si="201"/>
        <v>1.3867249396093583E-5</v>
      </c>
      <c r="AO151" s="446">
        <f t="shared" si="201"/>
        <v>1.3867249396093583E-5</v>
      </c>
      <c r="AP151" s="446">
        <f t="shared" si="201"/>
        <v>1.3867249396093583E-5</v>
      </c>
      <c r="AQ151" s="446">
        <f t="shared" si="201"/>
        <v>1.3867249396093583E-5</v>
      </c>
      <c r="AR151" s="446">
        <f t="shared" si="201"/>
        <v>1.3867249396093583E-5</v>
      </c>
      <c r="AS151" s="446">
        <f t="shared" si="201"/>
        <v>1.3867249396093583E-5</v>
      </c>
      <c r="AT151" s="446">
        <f t="shared" si="201"/>
        <v>1.3867249396093583E-5</v>
      </c>
      <c r="AU151" s="446">
        <f t="shared" si="201"/>
        <v>1.3867249396093583E-5</v>
      </c>
      <c r="AV151" s="406"/>
      <c r="AW151" s="385">
        <f t="shared" si="191"/>
        <v>3.8828298309062046E-4</v>
      </c>
      <c r="AX151" s="167">
        <f t="shared" si="192"/>
        <v>0</v>
      </c>
    </row>
    <row r="152" spans="1:50">
      <c r="A152" s="87">
        <f t="shared" si="202"/>
        <v>7</v>
      </c>
      <c r="B152" s="86" t="s">
        <v>177</v>
      </c>
      <c r="C152" s="61"/>
      <c r="D152" s="64"/>
      <c r="E152" s="157">
        <v>7</v>
      </c>
      <c r="F152" s="158" t="s">
        <v>56</v>
      </c>
      <c r="G152" s="128">
        <v>50000</v>
      </c>
      <c r="H152" s="117">
        <v>10000</v>
      </c>
      <c r="I152" s="117">
        <f t="shared" si="193"/>
        <v>60000</v>
      </c>
      <c r="J152" s="117">
        <f t="shared" si="194"/>
        <v>350000</v>
      </c>
      <c r="K152" s="117">
        <f t="shared" si="195"/>
        <v>70000</v>
      </c>
      <c r="L152" s="117">
        <f t="shared" si="196"/>
        <v>420000</v>
      </c>
      <c r="M152" s="114">
        <v>18000</v>
      </c>
      <c r="Q152" s="166">
        <f t="shared" si="197"/>
        <v>78000</v>
      </c>
      <c r="R152" s="167">
        <f t="shared" si="198"/>
        <v>546000</v>
      </c>
      <c r="S152" s="605">
        <f t="shared" si="199"/>
        <v>3.882829830906203E-4</v>
      </c>
      <c r="T152" s="446">
        <f>S152/28</f>
        <v>1.3867249396093583E-5</v>
      </c>
      <c r="U152" s="446">
        <f t="shared" si="200"/>
        <v>1.3867249396093583E-5</v>
      </c>
      <c r="V152" s="446">
        <f t="shared" si="201"/>
        <v>1.3867249396093583E-5</v>
      </c>
      <c r="W152" s="446">
        <f t="shared" si="201"/>
        <v>1.3867249396093583E-5</v>
      </c>
      <c r="X152" s="446">
        <f t="shared" si="201"/>
        <v>1.3867249396093583E-5</v>
      </c>
      <c r="Y152" s="446">
        <f t="shared" si="201"/>
        <v>1.3867249396093583E-5</v>
      </c>
      <c r="Z152" s="446">
        <f t="shared" si="201"/>
        <v>1.3867249396093583E-5</v>
      </c>
      <c r="AA152" s="446">
        <f t="shared" si="201"/>
        <v>1.3867249396093583E-5</v>
      </c>
      <c r="AB152" s="446">
        <f t="shared" si="201"/>
        <v>1.3867249396093583E-5</v>
      </c>
      <c r="AC152" s="446">
        <f t="shared" si="201"/>
        <v>1.3867249396093583E-5</v>
      </c>
      <c r="AD152" s="446">
        <f t="shared" si="201"/>
        <v>1.3867249396093583E-5</v>
      </c>
      <c r="AE152" s="446">
        <f t="shared" si="201"/>
        <v>1.3867249396093583E-5</v>
      </c>
      <c r="AF152" s="446">
        <f t="shared" si="201"/>
        <v>1.3867249396093583E-5</v>
      </c>
      <c r="AG152" s="446">
        <f t="shared" si="201"/>
        <v>1.3867249396093583E-5</v>
      </c>
      <c r="AH152" s="446">
        <f t="shared" si="201"/>
        <v>1.3867249396093583E-5</v>
      </c>
      <c r="AI152" s="446">
        <f t="shared" si="201"/>
        <v>1.3867249396093583E-5</v>
      </c>
      <c r="AJ152" s="446">
        <f t="shared" si="201"/>
        <v>1.3867249396093583E-5</v>
      </c>
      <c r="AK152" s="446">
        <f t="shared" si="201"/>
        <v>1.3867249396093583E-5</v>
      </c>
      <c r="AL152" s="446">
        <f t="shared" si="201"/>
        <v>1.3867249396093583E-5</v>
      </c>
      <c r="AM152" s="446">
        <f t="shared" si="201"/>
        <v>1.3867249396093583E-5</v>
      </c>
      <c r="AN152" s="446">
        <f t="shared" si="201"/>
        <v>1.3867249396093583E-5</v>
      </c>
      <c r="AO152" s="446">
        <f t="shared" si="201"/>
        <v>1.3867249396093583E-5</v>
      </c>
      <c r="AP152" s="446">
        <f t="shared" si="201"/>
        <v>1.3867249396093583E-5</v>
      </c>
      <c r="AQ152" s="446">
        <f t="shared" si="201"/>
        <v>1.3867249396093583E-5</v>
      </c>
      <c r="AR152" s="446">
        <f t="shared" si="201"/>
        <v>1.3867249396093583E-5</v>
      </c>
      <c r="AS152" s="446">
        <f t="shared" si="201"/>
        <v>1.3867249396093583E-5</v>
      </c>
      <c r="AT152" s="446">
        <f t="shared" si="201"/>
        <v>1.3867249396093583E-5</v>
      </c>
      <c r="AU152" s="446">
        <f t="shared" si="201"/>
        <v>1.3867249396093583E-5</v>
      </c>
      <c r="AV152" s="406"/>
      <c r="AW152" s="385">
        <f t="shared" si="191"/>
        <v>3.8828298309062046E-4</v>
      </c>
      <c r="AX152" s="167">
        <f t="shared" si="192"/>
        <v>0</v>
      </c>
    </row>
    <row r="153" spans="1:50" ht="16" thickBot="1">
      <c r="A153" s="346"/>
      <c r="B153" s="93"/>
      <c r="C153" s="208"/>
      <c r="D153" s="314"/>
      <c r="E153" s="157"/>
      <c r="F153" s="158"/>
      <c r="G153" s="128"/>
      <c r="H153" s="117"/>
      <c r="I153" s="117"/>
      <c r="J153" s="117"/>
      <c r="K153" s="117"/>
      <c r="L153" s="117"/>
      <c r="M153" s="114"/>
      <c r="Q153" s="194"/>
      <c r="R153" s="195"/>
      <c r="T153" s="450"/>
      <c r="U153" s="450"/>
      <c r="V153" s="450"/>
      <c r="W153" s="450"/>
      <c r="X153" s="450"/>
      <c r="Y153" s="450"/>
      <c r="Z153" s="450"/>
      <c r="AA153" s="450"/>
      <c r="AB153" s="450"/>
      <c r="AC153" s="450"/>
      <c r="AD153" s="450"/>
      <c r="AE153" s="450"/>
      <c r="AF153" s="450"/>
      <c r="AG153" s="450"/>
      <c r="AH153" s="450"/>
      <c r="AI153" s="450"/>
      <c r="AJ153" s="450"/>
      <c r="AK153" s="450"/>
      <c r="AL153" s="450"/>
      <c r="AM153" s="450"/>
      <c r="AN153" s="450"/>
      <c r="AO153" s="450"/>
      <c r="AP153" s="450"/>
      <c r="AQ153" s="450"/>
      <c r="AR153" s="450"/>
      <c r="AS153" s="450"/>
      <c r="AT153" s="450"/>
      <c r="AU153" s="450"/>
      <c r="AV153" s="402"/>
      <c r="AW153" s="415"/>
      <c r="AX153" s="416"/>
    </row>
    <row r="154" spans="1:50" s="424" customFormat="1" ht="26.4" customHeight="1" thickTop="1" thickBot="1">
      <c r="A154" s="724" t="s">
        <v>252</v>
      </c>
      <c r="B154" s="724"/>
      <c r="C154" s="724"/>
      <c r="D154" s="724"/>
      <c r="E154" s="417">
        <v>0</v>
      </c>
      <c r="F154" s="418"/>
      <c r="G154" s="420">
        <v>0</v>
      </c>
      <c r="H154" s="420">
        <v>0</v>
      </c>
      <c r="I154" s="420">
        <f t="shared" si="193"/>
        <v>0</v>
      </c>
      <c r="J154" s="420">
        <f t="shared" si="194"/>
        <v>0</v>
      </c>
      <c r="K154" s="420">
        <f t="shared" si="195"/>
        <v>0</v>
      </c>
      <c r="L154" s="420">
        <f t="shared" si="196"/>
        <v>0</v>
      </c>
      <c r="M154" s="421"/>
      <c r="N154" s="421"/>
      <c r="O154" s="421"/>
      <c r="P154" s="421"/>
      <c r="Q154" s="422" t="s">
        <v>178</v>
      </c>
      <c r="R154" s="423">
        <f>SUM(R147:R152)</f>
        <v>60110000</v>
      </c>
      <c r="S154" s="610"/>
      <c r="T154" s="451">
        <f>SUM(T12:T152)</f>
        <v>3.9571670657735883E-2</v>
      </c>
      <c r="U154" s="451">
        <f t="shared" ref="U154:AU154" si="203">SUM(U12:U152)</f>
        <v>3.9571670657735883E-2</v>
      </c>
      <c r="V154" s="451">
        <f t="shared" si="203"/>
        <v>2.8493141145499966E-2</v>
      </c>
      <c r="W154" s="451">
        <f t="shared" si="203"/>
        <v>1.3260558796138289E-2</v>
      </c>
      <c r="X154" s="451">
        <f t="shared" si="203"/>
        <v>2.533691648502661E-2</v>
      </c>
      <c r="Y154" s="451">
        <f t="shared" si="203"/>
        <v>5.7689752841767382E-2</v>
      </c>
      <c r="Z154" s="451">
        <f t="shared" si="203"/>
        <v>5.7689752841767382E-2</v>
      </c>
      <c r="AA154" s="451">
        <f t="shared" si="203"/>
        <v>4.5613395152879051E-2</v>
      </c>
      <c r="AB154" s="451">
        <f t="shared" si="203"/>
        <v>4.5613395152879051E-2</v>
      </c>
      <c r="AC154" s="451">
        <f t="shared" si="203"/>
        <v>1.7447103754203223E-2</v>
      </c>
      <c r="AD154" s="451">
        <f t="shared" si="203"/>
        <v>1.7447103754203223E-2</v>
      </c>
      <c r="AE154" s="451">
        <f t="shared" si="203"/>
        <v>1.7447103754203223E-2</v>
      </c>
      <c r="AF154" s="451">
        <f t="shared" si="203"/>
        <v>4.6973017372724017E-2</v>
      </c>
      <c r="AG154" s="451">
        <f t="shared" si="203"/>
        <v>4.6973017372724017E-2</v>
      </c>
      <c r="AH154" s="451">
        <f t="shared" si="203"/>
        <v>4.644259419439719E-2</v>
      </c>
      <c r="AI154" s="451">
        <f t="shared" si="203"/>
        <v>4.644259419439719E-2</v>
      </c>
      <c r="AJ154" s="451">
        <f t="shared" si="203"/>
        <v>5.2690722708751865E-2</v>
      </c>
      <c r="AK154" s="451">
        <f t="shared" si="203"/>
        <v>3.1964355057819166E-2</v>
      </c>
      <c r="AL154" s="451">
        <f t="shared" si="203"/>
        <v>4.284100722928582E-2</v>
      </c>
      <c r="AM154" s="451">
        <f t="shared" si="203"/>
        <v>4.284100722928582E-2</v>
      </c>
      <c r="AN154" s="451">
        <f t="shared" si="203"/>
        <v>2.288693939463031E-2</v>
      </c>
      <c r="AO154" s="451">
        <f t="shared" si="203"/>
        <v>2.288693939463031E-2</v>
      </c>
      <c r="AP154" s="451">
        <f t="shared" si="203"/>
        <v>4.5688327954371215E-2</v>
      </c>
      <c r="AQ154" s="451">
        <f t="shared" si="203"/>
        <v>4.5688327954371215E-2</v>
      </c>
      <c r="AR154" s="451">
        <f t="shared" si="203"/>
        <v>3.9440199440016539E-2</v>
      </c>
      <c r="AS154" s="451">
        <f t="shared" si="203"/>
        <v>3.9440199440016539E-2</v>
      </c>
      <c r="AT154" s="451">
        <f t="shared" si="203"/>
        <v>2.0304591144104704E-2</v>
      </c>
      <c r="AU154" s="451">
        <f t="shared" si="203"/>
        <v>1.314594924435538E-3</v>
      </c>
      <c r="AW154" s="425">
        <f>SUM(AW14:AW152)</f>
        <v>1.0000000000000002</v>
      </c>
    </row>
    <row r="155" spans="1:50" s="424" customFormat="1" ht="26.4" customHeight="1" thickTop="1" thickBot="1">
      <c r="A155" s="724" t="s">
        <v>253</v>
      </c>
      <c r="B155" s="724"/>
      <c r="C155" s="724"/>
      <c r="D155" s="724"/>
      <c r="E155" s="417">
        <v>0</v>
      </c>
      <c r="F155" s="418"/>
      <c r="G155" s="420">
        <v>0</v>
      </c>
      <c r="H155" s="420">
        <v>0</v>
      </c>
      <c r="I155" s="420">
        <f t="shared" si="193"/>
        <v>0</v>
      </c>
      <c r="J155" s="420">
        <f t="shared" si="194"/>
        <v>0</v>
      </c>
      <c r="K155" s="420">
        <f t="shared" si="195"/>
        <v>0</v>
      </c>
      <c r="L155" s="420">
        <f t="shared" si="196"/>
        <v>0</v>
      </c>
      <c r="M155" s="421"/>
      <c r="N155" s="421"/>
      <c r="O155" s="421"/>
      <c r="P155" s="421"/>
      <c r="Q155" s="421"/>
      <c r="R155" s="421"/>
      <c r="S155" s="610">
        <v>0</v>
      </c>
      <c r="T155" s="452">
        <f>S155+T154</f>
        <v>3.9571670657735883E-2</v>
      </c>
      <c r="U155" s="452">
        <f t="shared" ref="U155:V155" si="204">T155+U154</f>
        <v>7.9143341315471766E-2</v>
      </c>
      <c r="V155" s="452">
        <f t="shared" si="204"/>
        <v>0.10763648246097174</v>
      </c>
      <c r="W155" s="452">
        <f t="shared" ref="W155" si="205">V155+W154</f>
        <v>0.12089704125711002</v>
      </c>
      <c r="X155" s="452">
        <f t="shared" ref="X155" si="206">W155+X154</f>
        <v>0.14623395774213663</v>
      </c>
      <c r="Y155" s="452">
        <f t="shared" ref="Y155" si="207">X155+Y154</f>
        <v>0.20392371058390402</v>
      </c>
      <c r="Z155" s="452">
        <f t="shared" ref="Z155" si="208">Y155+Z154</f>
        <v>0.26161346342567138</v>
      </c>
      <c r="AA155" s="452">
        <f t="shared" ref="AA155" si="209">Z155+AA154</f>
        <v>0.30722685857855042</v>
      </c>
      <c r="AB155" s="452">
        <f t="shared" ref="AB155" si="210">AA155+AB154</f>
        <v>0.35284025373142947</v>
      </c>
      <c r="AC155" s="452">
        <f t="shared" ref="AC155" si="211">AB155+AC154</f>
        <v>0.37028735748563268</v>
      </c>
      <c r="AD155" s="452">
        <f t="shared" ref="AD155" si="212">AC155+AD154</f>
        <v>0.3877344612398359</v>
      </c>
      <c r="AE155" s="452">
        <f t="shared" ref="AE155" si="213">AD155+AE154</f>
        <v>0.40518156499403912</v>
      </c>
      <c r="AF155" s="452">
        <f t="shared" ref="AF155" si="214">AE155+AF154</f>
        <v>0.45215458236676315</v>
      </c>
      <c r="AG155" s="452">
        <f t="shared" ref="AG155" si="215">AF155+AG154</f>
        <v>0.49912759973948717</v>
      </c>
      <c r="AH155" s="452">
        <f t="shared" ref="AH155" si="216">AG155+AH154</f>
        <v>0.5455701939338844</v>
      </c>
      <c r="AI155" s="452">
        <f t="shared" ref="AI155" si="217">AH155+AI154</f>
        <v>0.59201278812828162</v>
      </c>
      <c r="AJ155" s="452">
        <f t="shared" ref="AJ155" si="218">AI155+AJ154</f>
        <v>0.64470351083703348</v>
      </c>
      <c r="AK155" s="452">
        <f t="shared" ref="AK155" si="219">AJ155+AK154</f>
        <v>0.67666786589485262</v>
      </c>
      <c r="AL155" s="452">
        <f t="shared" ref="AL155" si="220">AK155+AL154</f>
        <v>0.71950887312413847</v>
      </c>
      <c r="AM155" s="452">
        <f t="shared" ref="AM155" si="221">AL155+AM154</f>
        <v>0.76234988035342433</v>
      </c>
      <c r="AN155" s="452">
        <f t="shared" ref="AN155" si="222">AM155+AN154</f>
        <v>0.78523681974805459</v>
      </c>
      <c r="AO155" s="452">
        <f t="shared" ref="AO155" si="223">AN155+AO154</f>
        <v>0.80812375914268486</v>
      </c>
      <c r="AP155" s="452">
        <f t="shared" ref="AP155" si="224">AO155+AP154</f>
        <v>0.85381208709705603</v>
      </c>
      <c r="AQ155" s="452">
        <f t="shared" ref="AQ155" si="225">AP155+AQ154</f>
        <v>0.89950041505142719</v>
      </c>
      <c r="AR155" s="452">
        <f t="shared" ref="AR155" si="226">AQ155+AR154</f>
        <v>0.93894061449144373</v>
      </c>
      <c r="AS155" s="452">
        <f t="shared" ref="AS155" si="227">AR155+AS154</f>
        <v>0.97838081393146026</v>
      </c>
      <c r="AT155" s="452">
        <f t="shared" ref="AT155" si="228">AS155+AT154</f>
        <v>0.99868540507556491</v>
      </c>
      <c r="AU155" s="452">
        <f t="shared" ref="AU155" si="229">AT155+AU154</f>
        <v>1.0000000000000004</v>
      </c>
      <c r="AW155" s="426">
        <f>AW8-AW154</f>
        <v>0</v>
      </c>
    </row>
    <row r="156" spans="1:50" ht="26.4" customHeight="1" thickTop="1">
      <c r="A156" s="427"/>
      <c r="B156" s="428"/>
      <c r="C156" s="239"/>
      <c r="D156" s="240"/>
      <c r="E156" s="429"/>
      <c r="F156" s="430"/>
      <c r="G156" s="431"/>
      <c r="H156" s="432"/>
      <c r="I156" s="433"/>
      <c r="J156" s="433"/>
      <c r="K156" s="433"/>
      <c r="L156" s="433">
        <f>SUM(L147:L155)</f>
        <v>49700000</v>
      </c>
      <c r="T156" s="453">
        <f>$T$1*T154</f>
        <v>52432463.621500045</v>
      </c>
      <c r="U156" s="453">
        <f t="shared" ref="U156:AU156" si="230">$T$1*U154</f>
        <v>52432463.621500045</v>
      </c>
      <c r="V156" s="453">
        <f t="shared" si="230"/>
        <v>37753412.017787457</v>
      </c>
      <c r="W156" s="453">
        <f t="shared" si="230"/>
        <v>17570240.404883232</v>
      </c>
      <c r="X156" s="453">
        <f t="shared" si="230"/>
        <v>33571414.342660256</v>
      </c>
      <c r="Y156" s="453">
        <f t="shared" si="230"/>
        <v>76438922.515341774</v>
      </c>
      <c r="Z156" s="453">
        <f t="shared" si="230"/>
        <v>76438922.515341774</v>
      </c>
      <c r="AA156" s="453">
        <f t="shared" si="230"/>
        <v>60437748.577564739</v>
      </c>
      <c r="AB156" s="453">
        <f t="shared" si="230"/>
        <v>60437748.577564739</v>
      </c>
      <c r="AC156" s="453">
        <f t="shared" si="230"/>
        <v>23117412.474319272</v>
      </c>
      <c r="AD156" s="453">
        <f t="shared" si="230"/>
        <v>23117412.474319272</v>
      </c>
      <c r="AE156" s="453">
        <f t="shared" si="230"/>
        <v>23117412.474319272</v>
      </c>
      <c r="AF156" s="453">
        <f t="shared" si="230"/>
        <v>62239248.018859319</v>
      </c>
      <c r="AG156" s="453">
        <f t="shared" si="230"/>
        <v>62239248.018859319</v>
      </c>
      <c r="AH156" s="453">
        <f t="shared" si="230"/>
        <v>61536437.307576276</v>
      </c>
      <c r="AI156" s="453">
        <f t="shared" si="230"/>
        <v>61536437.307576276</v>
      </c>
      <c r="AJ156" s="453">
        <f t="shared" si="230"/>
        <v>69815207.589096218</v>
      </c>
      <c r="AK156" s="453">
        <f t="shared" si="230"/>
        <v>42352770.451610394</v>
      </c>
      <c r="AL156" s="453">
        <f t="shared" si="230"/>
        <v>56764334.578803711</v>
      </c>
      <c r="AM156" s="453">
        <f t="shared" si="230"/>
        <v>56764334.578803711</v>
      </c>
      <c r="AN156" s="453">
        <f t="shared" si="230"/>
        <v>30325194.697885159</v>
      </c>
      <c r="AO156" s="453">
        <f t="shared" si="230"/>
        <v>30325194.697885159</v>
      </c>
      <c r="AP156" s="453">
        <f t="shared" si="230"/>
        <v>60537034.539541863</v>
      </c>
      <c r="AQ156" s="453">
        <f t="shared" si="230"/>
        <v>60537034.539541863</v>
      </c>
      <c r="AR156" s="453">
        <f t="shared" si="230"/>
        <v>52258264.258021913</v>
      </c>
      <c r="AS156" s="453">
        <f t="shared" si="230"/>
        <v>52258264.258021913</v>
      </c>
      <c r="AT156" s="453">
        <f t="shared" si="230"/>
        <v>26903583.265938733</v>
      </c>
      <c r="AU156" s="453">
        <f t="shared" si="230"/>
        <v>1741838.2748770879</v>
      </c>
    </row>
    <row r="157" spans="1:50">
      <c r="A157" s="87"/>
      <c r="B157" s="86"/>
      <c r="C157" s="61"/>
      <c r="D157" s="64"/>
      <c r="E157" s="151"/>
      <c r="F157" s="140"/>
      <c r="G157" s="127"/>
      <c r="H157" s="116"/>
      <c r="I157" s="116"/>
      <c r="J157" s="116"/>
      <c r="K157" s="116"/>
      <c r="L157" s="116"/>
    </row>
    <row r="158" spans="1:50" s="68" customFormat="1">
      <c r="A158" s="57"/>
      <c r="B158" s="57"/>
      <c r="C158" s="57"/>
      <c r="D158" s="65"/>
      <c r="E158" s="66"/>
      <c r="F158" s="57"/>
      <c r="G158" s="67"/>
      <c r="H158" s="67"/>
      <c r="I158" s="67"/>
      <c r="J158" s="67"/>
      <c r="K158" s="67"/>
      <c r="L158" s="67"/>
      <c r="S158" s="611"/>
      <c r="T158" s="454"/>
      <c r="U158" s="454"/>
      <c r="V158" s="454"/>
      <c r="W158" s="454"/>
      <c r="X158" s="454"/>
      <c r="Y158" s="454"/>
      <c r="Z158" s="454"/>
      <c r="AA158" s="454"/>
      <c r="AB158" s="454"/>
      <c r="AC158" s="454"/>
      <c r="AD158" s="454"/>
      <c r="AE158" s="454"/>
      <c r="AF158" s="454"/>
      <c r="AG158" s="454"/>
      <c r="AH158" s="454"/>
      <c r="AI158" s="454"/>
      <c r="AJ158" s="454"/>
      <c r="AK158" s="454"/>
      <c r="AL158" s="454"/>
      <c r="AM158" s="454"/>
      <c r="AN158" s="454"/>
      <c r="AO158" s="454"/>
      <c r="AP158" s="454"/>
      <c r="AQ158" s="454"/>
      <c r="AR158" s="454"/>
      <c r="AS158" s="454"/>
      <c r="AT158" s="454"/>
      <c r="AU158" s="454"/>
    </row>
    <row r="159" spans="1:50" s="70" customFormat="1">
      <c r="A159" s="57"/>
      <c r="B159" s="57"/>
      <c r="C159" s="57"/>
      <c r="D159" s="65"/>
      <c r="E159" s="66"/>
      <c r="F159" s="57"/>
      <c r="G159" s="67"/>
      <c r="H159" s="67"/>
      <c r="I159" s="67"/>
      <c r="J159" s="69"/>
      <c r="K159" s="69"/>
      <c r="L159" s="69"/>
      <c r="S159" s="612"/>
      <c r="T159" s="455"/>
      <c r="U159" s="455"/>
      <c r="V159" s="455"/>
      <c r="W159" s="455"/>
      <c r="X159" s="455"/>
      <c r="Y159" s="455"/>
      <c r="Z159" s="455"/>
      <c r="AA159" s="455"/>
      <c r="AB159" s="455"/>
      <c r="AC159" s="455"/>
      <c r="AD159" s="455"/>
      <c r="AE159" s="455"/>
      <c r="AF159" s="455"/>
      <c r="AG159" s="455"/>
      <c r="AH159" s="455"/>
      <c r="AI159" s="455"/>
      <c r="AJ159" s="455"/>
      <c r="AK159" s="455"/>
      <c r="AL159" s="455"/>
      <c r="AM159" s="455"/>
      <c r="AN159" s="455"/>
      <c r="AO159" s="455"/>
      <c r="AP159" s="455"/>
      <c r="AQ159" s="455"/>
      <c r="AR159" s="455"/>
      <c r="AS159" s="455"/>
      <c r="AT159" s="455"/>
      <c r="AU159" s="455"/>
    </row>
    <row r="160" spans="1:50" s="71" customFormat="1">
      <c r="A160" s="57"/>
      <c r="B160" s="57"/>
      <c r="C160" s="57"/>
      <c r="D160" s="65"/>
      <c r="E160" s="66"/>
      <c r="F160" s="57"/>
      <c r="G160" s="67"/>
      <c r="H160" s="67"/>
      <c r="I160" s="67"/>
      <c r="J160" s="67"/>
      <c r="K160" s="67"/>
      <c r="L160" s="67"/>
      <c r="S160" s="613"/>
      <c r="T160" s="456"/>
      <c r="U160" s="456"/>
      <c r="V160" s="456"/>
      <c r="W160" s="456"/>
      <c r="X160" s="456"/>
      <c r="Y160" s="456"/>
      <c r="Z160" s="456"/>
      <c r="AA160" s="456"/>
      <c r="AB160" s="456"/>
      <c r="AC160" s="456"/>
      <c r="AD160" s="456"/>
      <c r="AE160" s="456"/>
      <c r="AF160" s="456"/>
      <c r="AG160" s="456"/>
      <c r="AH160" s="456"/>
      <c r="AI160" s="456"/>
      <c r="AJ160" s="456"/>
      <c r="AK160" s="456"/>
      <c r="AL160" s="456"/>
      <c r="AM160" s="456"/>
      <c r="AN160" s="456"/>
      <c r="AO160" s="456"/>
      <c r="AP160" s="456"/>
      <c r="AQ160" s="456"/>
      <c r="AR160" s="456"/>
      <c r="AS160" s="456"/>
      <c r="AT160" s="456"/>
      <c r="AU160" s="456"/>
    </row>
    <row r="162" spans="1:47">
      <c r="L162" s="72"/>
    </row>
    <row r="163" spans="1:47" s="58" customFormat="1">
      <c r="A163" s="57"/>
      <c r="B163" s="57"/>
      <c r="C163" s="57"/>
      <c r="D163" s="65"/>
      <c r="E163" s="66"/>
      <c r="F163" s="57"/>
      <c r="G163" s="67"/>
      <c r="H163" s="67"/>
      <c r="I163" s="67"/>
      <c r="J163" s="67"/>
      <c r="K163" s="67"/>
      <c r="L163" s="67"/>
      <c r="S163" s="613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  <c r="AR163" s="218"/>
      <c r="AS163" s="218"/>
      <c r="AT163" s="218"/>
      <c r="AU163" s="218"/>
    </row>
    <row r="184" spans="1:47" s="67" customFormat="1">
      <c r="A184" s="57"/>
      <c r="B184" s="57"/>
      <c r="C184" s="57"/>
      <c r="D184" s="65"/>
      <c r="E184" s="66"/>
      <c r="F184" s="57"/>
      <c r="S184" s="614"/>
      <c r="T184" s="457"/>
      <c r="U184" s="457"/>
      <c r="V184" s="457"/>
      <c r="W184" s="457"/>
      <c r="X184" s="457"/>
      <c r="Y184" s="457"/>
      <c r="Z184" s="457"/>
      <c r="AA184" s="457"/>
      <c r="AB184" s="457"/>
      <c r="AC184" s="457"/>
      <c r="AD184" s="457"/>
      <c r="AE184" s="457"/>
      <c r="AF184" s="457"/>
      <c r="AG184" s="457"/>
      <c r="AH184" s="457"/>
      <c r="AI184" s="457"/>
      <c r="AJ184" s="457"/>
      <c r="AK184" s="457"/>
      <c r="AL184" s="457"/>
      <c r="AM184" s="457"/>
      <c r="AN184" s="457"/>
      <c r="AO184" s="457"/>
      <c r="AP184" s="457"/>
      <c r="AQ184" s="457"/>
      <c r="AR184" s="457"/>
      <c r="AS184" s="457"/>
      <c r="AT184" s="457"/>
      <c r="AU184" s="457"/>
    </row>
    <row r="185" spans="1:47" s="67" customFormat="1">
      <c r="A185" s="57"/>
      <c r="B185" s="57"/>
      <c r="C185" s="57"/>
      <c r="D185" s="65"/>
      <c r="E185" s="66"/>
      <c r="F185" s="57"/>
      <c r="S185" s="614"/>
      <c r="T185" s="457"/>
      <c r="U185" s="457"/>
      <c r="V185" s="457"/>
      <c r="W185" s="457"/>
      <c r="X185" s="457"/>
      <c r="Y185" s="457"/>
      <c r="Z185" s="457"/>
      <c r="AA185" s="457"/>
      <c r="AB185" s="457"/>
      <c r="AC185" s="457"/>
      <c r="AD185" s="457"/>
      <c r="AE185" s="457"/>
      <c r="AF185" s="457"/>
      <c r="AG185" s="457"/>
      <c r="AH185" s="457"/>
      <c r="AI185" s="457"/>
      <c r="AJ185" s="457"/>
      <c r="AK185" s="457"/>
      <c r="AL185" s="457"/>
      <c r="AM185" s="457"/>
      <c r="AN185" s="457"/>
      <c r="AO185" s="457"/>
      <c r="AP185" s="457"/>
      <c r="AQ185" s="457"/>
      <c r="AR185" s="457"/>
      <c r="AS185" s="457"/>
      <c r="AT185" s="457"/>
      <c r="AU185" s="457"/>
    </row>
    <row r="186" spans="1:47" s="70" customFormat="1" ht="25.5" customHeight="1">
      <c r="A186" s="57"/>
      <c r="B186" s="57"/>
      <c r="C186" s="57"/>
      <c r="D186" s="65"/>
      <c r="E186" s="66"/>
      <c r="F186" s="57"/>
      <c r="G186" s="67"/>
      <c r="H186" s="67"/>
      <c r="I186" s="67"/>
      <c r="J186" s="67"/>
      <c r="K186" s="67"/>
      <c r="L186" s="67"/>
      <c r="S186" s="612"/>
      <c r="T186" s="455"/>
      <c r="U186" s="455"/>
      <c r="V186" s="455"/>
      <c r="W186" s="455"/>
      <c r="X186" s="455"/>
      <c r="Y186" s="455"/>
      <c r="Z186" s="455"/>
      <c r="AA186" s="455"/>
      <c r="AB186" s="455"/>
      <c r="AC186" s="455"/>
      <c r="AD186" s="455"/>
      <c r="AE186" s="455"/>
      <c r="AF186" s="455"/>
      <c r="AG186" s="455"/>
      <c r="AH186" s="455"/>
      <c r="AI186" s="455"/>
      <c r="AJ186" s="455"/>
      <c r="AK186" s="455"/>
      <c r="AL186" s="455"/>
      <c r="AM186" s="455"/>
      <c r="AN186" s="455"/>
      <c r="AO186" s="455"/>
      <c r="AP186" s="455"/>
      <c r="AQ186" s="455"/>
      <c r="AR186" s="455"/>
      <c r="AS186" s="455"/>
      <c r="AT186" s="455"/>
      <c r="AU186" s="455"/>
    </row>
  </sheetData>
  <mergeCells count="43">
    <mergeCell ref="R10:R11"/>
    <mergeCell ref="T10:W10"/>
    <mergeCell ref="T1:W1"/>
    <mergeCell ref="T6:W6"/>
    <mergeCell ref="X6:AA6"/>
    <mergeCell ref="S3:S4"/>
    <mergeCell ref="AF6:AI6"/>
    <mergeCell ref="T3:W3"/>
    <mergeCell ref="X3:AA3"/>
    <mergeCell ref="AB3:AE3"/>
    <mergeCell ref="AF3:AI3"/>
    <mergeCell ref="A155:D155"/>
    <mergeCell ref="E4:L4"/>
    <mergeCell ref="AN6:AQ6"/>
    <mergeCell ref="AR6:AU6"/>
    <mergeCell ref="U5:W5"/>
    <mergeCell ref="T7:W7"/>
    <mergeCell ref="X7:AA7"/>
    <mergeCell ref="AB7:AE7"/>
    <mergeCell ref="AF7:AI7"/>
    <mergeCell ref="AJ7:AM7"/>
    <mergeCell ref="AN7:AQ7"/>
    <mergeCell ref="AJ6:AM6"/>
    <mergeCell ref="AB10:AE10"/>
    <mergeCell ref="AF10:AI10"/>
    <mergeCell ref="AJ10:AM10"/>
    <mergeCell ref="AN10:AQ10"/>
    <mergeCell ref="AJ3:AM3"/>
    <mergeCell ref="AR7:AU7"/>
    <mergeCell ref="X5:AA5"/>
    <mergeCell ref="A154:D154"/>
    <mergeCell ref="AR10:AU10"/>
    <mergeCell ref="X10:AA10"/>
    <mergeCell ref="E8:L8"/>
    <mergeCell ref="A10:A11"/>
    <mergeCell ref="B10:D11"/>
    <mergeCell ref="E10:F11"/>
    <mergeCell ref="M10:M11"/>
    <mergeCell ref="N10:N11"/>
    <mergeCell ref="O10:O11"/>
    <mergeCell ref="P10:P11"/>
    <mergeCell ref="Q10:Q11"/>
    <mergeCell ref="AB6:AE6"/>
  </mergeCells>
  <phoneticPr fontId="18" type="noConversion"/>
  <conditionalFormatting sqref="T154:AU15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9685039370078741" right="0.19685039370078741" top="0.31496062992125984" bottom="0.19685039370078741" header="0" footer="0"/>
  <pageSetup paperSize="8" scale="35" fitToHeight="4" orientation="landscape" r:id="rId1"/>
  <headerFooter alignWithMargins="0">
    <oddFooter>Page &amp;P</oddFooter>
  </headerFooter>
  <rowBreaks count="1" manualBreakCount="1">
    <brk id="113" max="16383" man="1"/>
  </rowBreaks>
  <colBreaks count="1" manualBreakCount="1">
    <brk id="12" max="154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0B2E-EC6E-4968-9EC2-0E444AF2267C}">
  <sheetPr>
    <tabColor rgb="FFFF0000"/>
  </sheetPr>
  <dimension ref="A1:Q176"/>
  <sheetViews>
    <sheetView tabSelected="1" view="pageBreakPreview" topLeftCell="A113" zoomScale="85" zoomScaleNormal="70" zoomScaleSheetLayoutView="85" workbookViewId="0">
      <selection activeCell="J8" sqref="J8"/>
    </sheetView>
  </sheetViews>
  <sheetFormatPr defaultRowHeight="15.5"/>
  <cols>
    <col min="1" max="1" width="6.08984375" style="57" customWidth="1"/>
    <col min="2" max="2" width="11.54296875" style="57" customWidth="1"/>
    <col min="3" max="3" width="2.08984375" style="57" customWidth="1"/>
    <col min="4" max="4" width="37.54296875" style="65" customWidth="1"/>
    <col min="5" max="5" width="13.6328125" style="66" customWidth="1"/>
    <col min="6" max="6" width="6.81640625" style="57" bestFit="1" customWidth="1"/>
    <col min="7" max="7" width="17.08984375" style="67" customWidth="1"/>
    <col min="8" max="8" width="18.08984375" style="67" customWidth="1"/>
    <col min="9" max="9" width="21.08984375" style="67" customWidth="1"/>
    <col min="10" max="10" width="17.08984375" style="67" customWidth="1"/>
    <col min="11" max="11" width="20.54296875" style="67" customWidth="1"/>
    <col min="12" max="12" width="20.36328125" style="67" customWidth="1"/>
    <col min="13" max="13" width="1.54296875" style="57" customWidth="1"/>
    <col min="14" max="14" width="11.81640625" style="55" customWidth="1"/>
    <col min="15" max="15" width="21" style="55" customWidth="1"/>
    <col min="16" max="16" width="18.6328125" style="55" customWidth="1"/>
    <col min="17" max="17" width="27.453125" style="55" customWidth="1"/>
    <col min="18" max="183" width="8.90625" style="55"/>
    <col min="184" max="184" width="7.54296875" style="55" customWidth="1"/>
    <col min="185" max="185" width="59.54296875" style="55" customWidth="1"/>
    <col min="186" max="186" width="11.453125" style="55" customWidth="1"/>
    <col min="187" max="187" width="7.08984375" style="55" bestFit="1" customWidth="1"/>
    <col min="188" max="189" width="19.36328125" style="55" customWidth="1"/>
    <col min="190" max="190" width="17.36328125" style="55" customWidth="1"/>
    <col min="191" max="191" width="22.453125" style="55" bestFit="1" customWidth="1"/>
    <col min="192" max="192" width="20.36328125" style="55" customWidth="1"/>
    <col min="193" max="193" width="21" style="55" customWidth="1"/>
    <col min="194" max="439" width="8.90625" style="55"/>
    <col min="440" max="440" width="7.54296875" style="55" customWidth="1"/>
    <col min="441" max="441" width="59.54296875" style="55" customWidth="1"/>
    <col min="442" max="442" width="11.453125" style="55" customWidth="1"/>
    <col min="443" max="443" width="7.08984375" style="55" bestFit="1" customWidth="1"/>
    <col min="444" max="445" width="19.36328125" style="55" customWidth="1"/>
    <col min="446" max="446" width="17.36328125" style="55" customWidth="1"/>
    <col min="447" max="447" width="22.453125" style="55" bestFit="1" customWidth="1"/>
    <col min="448" max="448" width="20.36328125" style="55" customWidth="1"/>
    <col min="449" max="449" width="21" style="55" customWidth="1"/>
    <col min="450" max="695" width="8.90625" style="55"/>
    <col min="696" max="696" width="7.54296875" style="55" customWidth="1"/>
    <col min="697" max="697" width="59.54296875" style="55" customWidth="1"/>
    <col min="698" max="698" width="11.453125" style="55" customWidth="1"/>
    <col min="699" max="699" width="7.08984375" style="55" bestFit="1" customWidth="1"/>
    <col min="700" max="701" width="19.36328125" style="55" customWidth="1"/>
    <col min="702" max="702" width="17.36328125" style="55" customWidth="1"/>
    <col min="703" max="703" width="22.453125" style="55" bestFit="1" customWidth="1"/>
    <col min="704" max="704" width="20.36328125" style="55" customWidth="1"/>
    <col min="705" max="705" width="21" style="55" customWidth="1"/>
    <col min="706" max="951" width="8.90625" style="55"/>
    <col min="952" max="952" width="7.54296875" style="55" customWidth="1"/>
    <col min="953" max="953" width="59.54296875" style="55" customWidth="1"/>
    <col min="954" max="954" width="11.453125" style="55" customWidth="1"/>
    <col min="955" max="955" width="7.08984375" style="55" bestFit="1" customWidth="1"/>
    <col min="956" max="957" width="19.36328125" style="55" customWidth="1"/>
    <col min="958" max="958" width="17.36328125" style="55" customWidth="1"/>
    <col min="959" max="959" width="22.453125" style="55" bestFit="1" customWidth="1"/>
    <col min="960" max="960" width="20.36328125" style="55" customWidth="1"/>
    <col min="961" max="961" width="21" style="55" customWidth="1"/>
    <col min="962" max="1207" width="8.90625" style="55"/>
    <col min="1208" max="1208" width="7.54296875" style="55" customWidth="1"/>
    <col min="1209" max="1209" width="59.54296875" style="55" customWidth="1"/>
    <col min="1210" max="1210" width="11.453125" style="55" customWidth="1"/>
    <col min="1211" max="1211" width="7.08984375" style="55" bestFit="1" customWidth="1"/>
    <col min="1212" max="1213" width="19.36328125" style="55" customWidth="1"/>
    <col min="1214" max="1214" width="17.36328125" style="55" customWidth="1"/>
    <col min="1215" max="1215" width="22.453125" style="55" bestFit="1" customWidth="1"/>
    <col min="1216" max="1216" width="20.36328125" style="55" customWidth="1"/>
    <col min="1217" max="1217" width="21" style="55" customWidth="1"/>
    <col min="1218" max="1463" width="8.90625" style="55"/>
    <col min="1464" max="1464" width="7.54296875" style="55" customWidth="1"/>
    <col min="1465" max="1465" width="59.54296875" style="55" customWidth="1"/>
    <col min="1466" max="1466" width="11.453125" style="55" customWidth="1"/>
    <col min="1467" max="1467" width="7.08984375" style="55" bestFit="1" customWidth="1"/>
    <col min="1468" max="1469" width="19.36328125" style="55" customWidth="1"/>
    <col min="1470" max="1470" width="17.36328125" style="55" customWidth="1"/>
    <col min="1471" max="1471" width="22.453125" style="55" bestFit="1" customWidth="1"/>
    <col min="1472" max="1472" width="20.36328125" style="55" customWidth="1"/>
    <col min="1473" max="1473" width="21" style="55" customWidth="1"/>
    <col min="1474" max="1719" width="8.90625" style="55"/>
    <col min="1720" max="1720" width="7.54296875" style="55" customWidth="1"/>
    <col min="1721" max="1721" width="59.54296875" style="55" customWidth="1"/>
    <col min="1722" max="1722" width="11.453125" style="55" customWidth="1"/>
    <col min="1723" max="1723" width="7.08984375" style="55" bestFit="1" customWidth="1"/>
    <col min="1724" max="1725" width="19.36328125" style="55" customWidth="1"/>
    <col min="1726" max="1726" width="17.36328125" style="55" customWidth="1"/>
    <col min="1727" max="1727" width="22.453125" style="55" bestFit="1" customWidth="1"/>
    <col min="1728" max="1728" width="20.36328125" style="55" customWidth="1"/>
    <col min="1729" max="1729" width="21" style="55" customWidth="1"/>
    <col min="1730" max="1975" width="8.90625" style="55"/>
    <col min="1976" max="1976" width="7.54296875" style="55" customWidth="1"/>
    <col min="1977" max="1977" width="59.54296875" style="55" customWidth="1"/>
    <col min="1978" max="1978" width="11.453125" style="55" customWidth="1"/>
    <col min="1979" max="1979" width="7.08984375" style="55" bestFit="1" customWidth="1"/>
    <col min="1980" max="1981" width="19.36328125" style="55" customWidth="1"/>
    <col min="1982" max="1982" width="17.36328125" style="55" customWidth="1"/>
    <col min="1983" max="1983" width="22.453125" style="55" bestFit="1" customWidth="1"/>
    <col min="1984" max="1984" width="20.36328125" style="55" customWidth="1"/>
    <col min="1985" max="1985" width="21" style="55" customWidth="1"/>
    <col min="1986" max="2231" width="8.90625" style="55"/>
    <col min="2232" max="2232" width="7.54296875" style="55" customWidth="1"/>
    <col min="2233" max="2233" width="59.54296875" style="55" customWidth="1"/>
    <col min="2234" max="2234" width="11.453125" style="55" customWidth="1"/>
    <col min="2235" max="2235" width="7.08984375" style="55" bestFit="1" customWidth="1"/>
    <col min="2236" max="2237" width="19.36328125" style="55" customWidth="1"/>
    <col min="2238" max="2238" width="17.36328125" style="55" customWidth="1"/>
    <col min="2239" max="2239" width="22.453125" style="55" bestFit="1" customWidth="1"/>
    <col min="2240" max="2240" width="20.36328125" style="55" customWidth="1"/>
    <col min="2241" max="2241" width="21" style="55" customWidth="1"/>
    <col min="2242" max="2487" width="8.90625" style="55"/>
    <col min="2488" max="2488" width="7.54296875" style="55" customWidth="1"/>
    <col min="2489" max="2489" width="59.54296875" style="55" customWidth="1"/>
    <col min="2490" max="2490" width="11.453125" style="55" customWidth="1"/>
    <col min="2491" max="2491" width="7.08984375" style="55" bestFit="1" customWidth="1"/>
    <col min="2492" max="2493" width="19.36328125" style="55" customWidth="1"/>
    <col min="2494" max="2494" width="17.36328125" style="55" customWidth="1"/>
    <col min="2495" max="2495" width="22.453125" style="55" bestFit="1" customWidth="1"/>
    <col min="2496" max="2496" width="20.36328125" style="55" customWidth="1"/>
    <col min="2497" max="2497" width="21" style="55" customWidth="1"/>
    <col min="2498" max="2743" width="8.90625" style="55"/>
    <col min="2744" max="2744" width="7.54296875" style="55" customWidth="1"/>
    <col min="2745" max="2745" width="59.54296875" style="55" customWidth="1"/>
    <col min="2746" max="2746" width="11.453125" style="55" customWidth="1"/>
    <col min="2747" max="2747" width="7.08984375" style="55" bestFit="1" customWidth="1"/>
    <col min="2748" max="2749" width="19.36328125" style="55" customWidth="1"/>
    <col min="2750" max="2750" width="17.36328125" style="55" customWidth="1"/>
    <col min="2751" max="2751" width="22.453125" style="55" bestFit="1" customWidth="1"/>
    <col min="2752" max="2752" width="20.36328125" style="55" customWidth="1"/>
    <col min="2753" max="2753" width="21" style="55" customWidth="1"/>
    <col min="2754" max="2999" width="8.90625" style="55"/>
    <col min="3000" max="3000" width="7.54296875" style="55" customWidth="1"/>
    <col min="3001" max="3001" width="59.54296875" style="55" customWidth="1"/>
    <col min="3002" max="3002" width="11.453125" style="55" customWidth="1"/>
    <col min="3003" max="3003" width="7.08984375" style="55" bestFit="1" customWidth="1"/>
    <col min="3004" max="3005" width="19.36328125" style="55" customWidth="1"/>
    <col min="3006" max="3006" width="17.36328125" style="55" customWidth="1"/>
    <col min="3007" max="3007" width="22.453125" style="55" bestFit="1" customWidth="1"/>
    <col min="3008" max="3008" width="20.36328125" style="55" customWidth="1"/>
    <col min="3009" max="3009" width="21" style="55" customWidth="1"/>
    <col min="3010" max="3255" width="8.90625" style="55"/>
    <col min="3256" max="3256" width="7.54296875" style="55" customWidth="1"/>
    <col min="3257" max="3257" width="59.54296875" style="55" customWidth="1"/>
    <col min="3258" max="3258" width="11.453125" style="55" customWidth="1"/>
    <col min="3259" max="3259" width="7.08984375" style="55" bestFit="1" customWidth="1"/>
    <col min="3260" max="3261" width="19.36328125" style="55" customWidth="1"/>
    <col min="3262" max="3262" width="17.36328125" style="55" customWidth="1"/>
    <col min="3263" max="3263" width="22.453125" style="55" bestFit="1" customWidth="1"/>
    <col min="3264" max="3264" width="20.36328125" style="55" customWidth="1"/>
    <col min="3265" max="3265" width="21" style="55" customWidth="1"/>
    <col min="3266" max="3511" width="8.90625" style="55"/>
    <col min="3512" max="3512" width="7.54296875" style="55" customWidth="1"/>
    <col min="3513" max="3513" width="59.54296875" style="55" customWidth="1"/>
    <col min="3514" max="3514" width="11.453125" style="55" customWidth="1"/>
    <col min="3515" max="3515" width="7.08984375" style="55" bestFit="1" customWidth="1"/>
    <col min="3516" max="3517" width="19.36328125" style="55" customWidth="1"/>
    <col min="3518" max="3518" width="17.36328125" style="55" customWidth="1"/>
    <col min="3519" max="3519" width="22.453125" style="55" bestFit="1" customWidth="1"/>
    <col min="3520" max="3520" width="20.36328125" style="55" customWidth="1"/>
    <col min="3521" max="3521" width="21" style="55" customWidth="1"/>
    <col min="3522" max="3767" width="8.90625" style="55"/>
    <col min="3768" max="3768" width="7.54296875" style="55" customWidth="1"/>
    <col min="3769" max="3769" width="59.54296875" style="55" customWidth="1"/>
    <col min="3770" max="3770" width="11.453125" style="55" customWidth="1"/>
    <col min="3771" max="3771" width="7.08984375" style="55" bestFit="1" customWidth="1"/>
    <col min="3772" max="3773" width="19.36328125" style="55" customWidth="1"/>
    <col min="3774" max="3774" width="17.36328125" style="55" customWidth="1"/>
    <col min="3775" max="3775" width="22.453125" style="55" bestFit="1" customWidth="1"/>
    <col min="3776" max="3776" width="20.36328125" style="55" customWidth="1"/>
    <col min="3777" max="3777" width="21" style="55" customWidth="1"/>
    <col min="3778" max="4023" width="8.90625" style="55"/>
    <col min="4024" max="4024" width="7.54296875" style="55" customWidth="1"/>
    <col min="4025" max="4025" width="59.54296875" style="55" customWidth="1"/>
    <col min="4026" max="4026" width="11.453125" style="55" customWidth="1"/>
    <col min="4027" max="4027" width="7.08984375" style="55" bestFit="1" customWidth="1"/>
    <col min="4028" max="4029" width="19.36328125" style="55" customWidth="1"/>
    <col min="4030" max="4030" width="17.36328125" style="55" customWidth="1"/>
    <col min="4031" max="4031" width="22.453125" style="55" bestFit="1" customWidth="1"/>
    <col min="4032" max="4032" width="20.36328125" style="55" customWidth="1"/>
    <col min="4033" max="4033" width="21" style="55" customWidth="1"/>
    <col min="4034" max="4279" width="8.90625" style="55"/>
    <col min="4280" max="4280" width="7.54296875" style="55" customWidth="1"/>
    <col min="4281" max="4281" width="59.54296875" style="55" customWidth="1"/>
    <col min="4282" max="4282" width="11.453125" style="55" customWidth="1"/>
    <col min="4283" max="4283" width="7.08984375" style="55" bestFit="1" customWidth="1"/>
    <col min="4284" max="4285" width="19.36328125" style="55" customWidth="1"/>
    <col min="4286" max="4286" width="17.36328125" style="55" customWidth="1"/>
    <col min="4287" max="4287" width="22.453125" style="55" bestFit="1" customWidth="1"/>
    <col min="4288" max="4288" width="20.36328125" style="55" customWidth="1"/>
    <col min="4289" max="4289" width="21" style="55" customWidth="1"/>
    <col min="4290" max="4535" width="8.90625" style="55"/>
    <col min="4536" max="4536" width="7.54296875" style="55" customWidth="1"/>
    <col min="4537" max="4537" width="59.54296875" style="55" customWidth="1"/>
    <col min="4538" max="4538" width="11.453125" style="55" customWidth="1"/>
    <col min="4539" max="4539" width="7.08984375" style="55" bestFit="1" customWidth="1"/>
    <col min="4540" max="4541" width="19.36328125" style="55" customWidth="1"/>
    <col min="4542" max="4542" width="17.36328125" style="55" customWidth="1"/>
    <col min="4543" max="4543" width="22.453125" style="55" bestFit="1" customWidth="1"/>
    <col min="4544" max="4544" width="20.36328125" style="55" customWidth="1"/>
    <col min="4545" max="4545" width="21" style="55" customWidth="1"/>
    <col min="4546" max="4791" width="8.90625" style="55"/>
    <col min="4792" max="4792" width="7.54296875" style="55" customWidth="1"/>
    <col min="4793" max="4793" width="59.54296875" style="55" customWidth="1"/>
    <col min="4794" max="4794" width="11.453125" style="55" customWidth="1"/>
    <col min="4795" max="4795" width="7.08984375" style="55" bestFit="1" customWidth="1"/>
    <col min="4796" max="4797" width="19.36328125" style="55" customWidth="1"/>
    <col min="4798" max="4798" width="17.36328125" style="55" customWidth="1"/>
    <col min="4799" max="4799" width="22.453125" style="55" bestFit="1" customWidth="1"/>
    <col min="4800" max="4800" width="20.36328125" style="55" customWidth="1"/>
    <col min="4801" max="4801" width="21" style="55" customWidth="1"/>
    <col min="4802" max="5047" width="8.90625" style="55"/>
    <col min="5048" max="5048" width="7.54296875" style="55" customWidth="1"/>
    <col min="5049" max="5049" width="59.54296875" style="55" customWidth="1"/>
    <col min="5050" max="5050" width="11.453125" style="55" customWidth="1"/>
    <col min="5051" max="5051" width="7.08984375" style="55" bestFit="1" customWidth="1"/>
    <col min="5052" max="5053" width="19.36328125" style="55" customWidth="1"/>
    <col min="5054" max="5054" width="17.36328125" style="55" customWidth="1"/>
    <col min="5055" max="5055" width="22.453125" style="55" bestFit="1" customWidth="1"/>
    <col min="5056" max="5056" width="20.36328125" style="55" customWidth="1"/>
    <col min="5057" max="5057" width="21" style="55" customWidth="1"/>
    <col min="5058" max="5303" width="8.90625" style="55"/>
    <col min="5304" max="5304" width="7.54296875" style="55" customWidth="1"/>
    <col min="5305" max="5305" width="59.54296875" style="55" customWidth="1"/>
    <col min="5306" max="5306" width="11.453125" style="55" customWidth="1"/>
    <col min="5307" max="5307" width="7.08984375" style="55" bestFit="1" customWidth="1"/>
    <col min="5308" max="5309" width="19.36328125" style="55" customWidth="1"/>
    <col min="5310" max="5310" width="17.36328125" style="55" customWidth="1"/>
    <col min="5311" max="5311" width="22.453125" style="55" bestFit="1" customWidth="1"/>
    <col min="5312" max="5312" width="20.36328125" style="55" customWidth="1"/>
    <col min="5313" max="5313" width="21" style="55" customWidth="1"/>
    <col min="5314" max="5559" width="8.90625" style="55"/>
    <col min="5560" max="5560" width="7.54296875" style="55" customWidth="1"/>
    <col min="5561" max="5561" width="59.54296875" style="55" customWidth="1"/>
    <col min="5562" max="5562" width="11.453125" style="55" customWidth="1"/>
    <col min="5563" max="5563" width="7.08984375" style="55" bestFit="1" customWidth="1"/>
    <col min="5564" max="5565" width="19.36328125" style="55" customWidth="1"/>
    <col min="5566" max="5566" width="17.36328125" style="55" customWidth="1"/>
    <col min="5567" max="5567" width="22.453125" style="55" bestFit="1" customWidth="1"/>
    <col min="5568" max="5568" width="20.36328125" style="55" customWidth="1"/>
    <col min="5569" max="5569" width="21" style="55" customWidth="1"/>
    <col min="5570" max="5815" width="8.90625" style="55"/>
    <col min="5816" max="5816" width="7.54296875" style="55" customWidth="1"/>
    <col min="5817" max="5817" width="59.54296875" style="55" customWidth="1"/>
    <col min="5818" max="5818" width="11.453125" style="55" customWidth="1"/>
    <col min="5819" max="5819" width="7.08984375" style="55" bestFit="1" customWidth="1"/>
    <col min="5820" max="5821" width="19.36328125" style="55" customWidth="1"/>
    <col min="5822" max="5822" width="17.36328125" style="55" customWidth="1"/>
    <col min="5823" max="5823" width="22.453125" style="55" bestFit="1" customWidth="1"/>
    <col min="5824" max="5824" width="20.36328125" style="55" customWidth="1"/>
    <col min="5825" max="5825" width="21" style="55" customWidth="1"/>
    <col min="5826" max="6071" width="8.90625" style="55"/>
    <col min="6072" max="6072" width="7.54296875" style="55" customWidth="1"/>
    <col min="6073" max="6073" width="59.54296875" style="55" customWidth="1"/>
    <col min="6074" max="6074" width="11.453125" style="55" customWidth="1"/>
    <col min="6075" max="6075" width="7.08984375" style="55" bestFit="1" customWidth="1"/>
    <col min="6076" max="6077" width="19.36328125" style="55" customWidth="1"/>
    <col min="6078" max="6078" width="17.36328125" style="55" customWidth="1"/>
    <col min="6079" max="6079" width="22.453125" style="55" bestFit="1" customWidth="1"/>
    <col min="6080" max="6080" width="20.36328125" style="55" customWidth="1"/>
    <col min="6081" max="6081" width="21" style="55" customWidth="1"/>
    <col min="6082" max="6327" width="8.90625" style="55"/>
    <col min="6328" max="6328" width="7.54296875" style="55" customWidth="1"/>
    <col min="6329" max="6329" width="59.54296875" style="55" customWidth="1"/>
    <col min="6330" max="6330" width="11.453125" style="55" customWidth="1"/>
    <col min="6331" max="6331" width="7.08984375" style="55" bestFit="1" customWidth="1"/>
    <col min="6332" max="6333" width="19.36328125" style="55" customWidth="1"/>
    <col min="6334" max="6334" width="17.36328125" style="55" customWidth="1"/>
    <col min="6335" max="6335" width="22.453125" style="55" bestFit="1" customWidth="1"/>
    <col min="6336" max="6336" width="20.36328125" style="55" customWidth="1"/>
    <col min="6337" max="6337" width="21" style="55" customWidth="1"/>
    <col min="6338" max="6583" width="8.90625" style="55"/>
    <col min="6584" max="6584" width="7.54296875" style="55" customWidth="1"/>
    <col min="6585" max="6585" width="59.54296875" style="55" customWidth="1"/>
    <col min="6586" max="6586" width="11.453125" style="55" customWidth="1"/>
    <col min="6587" max="6587" width="7.08984375" style="55" bestFit="1" customWidth="1"/>
    <col min="6588" max="6589" width="19.36328125" style="55" customWidth="1"/>
    <col min="6590" max="6590" width="17.36328125" style="55" customWidth="1"/>
    <col min="6591" max="6591" width="22.453125" style="55" bestFit="1" customWidth="1"/>
    <col min="6592" max="6592" width="20.36328125" style="55" customWidth="1"/>
    <col min="6593" max="6593" width="21" style="55" customWidth="1"/>
    <col min="6594" max="6839" width="8.90625" style="55"/>
    <col min="6840" max="6840" width="7.54296875" style="55" customWidth="1"/>
    <col min="6841" max="6841" width="59.54296875" style="55" customWidth="1"/>
    <col min="6842" max="6842" width="11.453125" style="55" customWidth="1"/>
    <col min="6843" max="6843" width="7.08984375" style="55" bestFit="1" customWidth="1"/>
    <col min="6844" max="6845" width="19.36328125" style="55" customWidth="1"/>
    <col min="6846" max="6846" width="17.36328125" style="55" customWidth="1"/>
    <col min="6847" max="6847" width="22.453125" style="55" bestFit="1" customWidth="1"/>
    <col min="6848" max="6848" width="20.36328125" style="55" customWidth="1"/>
    <col min="6849" max="6849" width="21" style="55" customWidth="1"/>
    <col min="6850" max="7095" width="8.90625" style="55"/>
    <col min="7096" max="7096" width="7.54296875" style="55" customWidth="1"/>
    <col min="7097" max="7097" width="59.54296875" style="55" customWidth="1"/>
    <col min="7098" max="7098" width="11.453125" style="55" customWidth="1"/>
    <col min="7099" max="7099" width="7.08984375" style="55" bestFit="1" customWidth="1"/>
    <col min="7100" max="7101" width="19.36328125" style="55" customWidth="1"/>
    <col min="7102" max="7102" width="17.36328125" style="55" customWidth="1"/>
    <col min="7103" max="7103" width="22.453125" style="55" bestFit="1" customWidth="1"/>
    <col min="7104" max="7104" width="20.36328125" style="55" customWidth="1"/>
    <col min="7105" max="7105" width="21" style="55" customWidth="1"/>
    <col min="7106" max="7351" width="8.90625" style="55"/>
    <col min="7352" max="7352" width="7.54296875" style="55" customWidth="1"/>
    <col min="7353" max="7353" width="59.54296875" style="55" customWidth="1"/>
    <col min="7354" max="7354" width="11.453125" style="55" customWidth="1"/>
    <col min="7355" max="7355" width="7.08984375" style="55" bestFit="1" customWidth="1"/>
    <col min="7356" max="7357" width="19.36328125" style="55" customWidth="1"/>
    <col min="7358" max="7358" width="17.36328125" style="55" customWidth="1"/>
    <col min="7359" max="7359" width="22.453125" style="55" bestFit="1" customWidth="1"/>
    <col min="7360" max="7360" width="20.36328125" style="55" customWidth="1"/>
    <col min="7361" max="7361" width="21" style="55" customWidth="1"/>
    <col min="7362" max="7607" width="8.90625" style="55"/>
    <col min="7608" max="7608" width="7.54296875" style="55" customWidth="1"/>
    <col min="7609" max="7609" width="59.54296875" style="55" customWidth="1"/>
    <col min="7610" max="7610" width="11.453125" style="55" customWidth="1"/>
    <col min="7611" max="7611" width="7.08984375" style="55" bestFit="1" customWidth="1"/>
    <col min="7612" max="7613" width="19.36328125" style="55" customWidth="1"/>
    <col min="7614" max="7614" width="17.36328125" style="55" customWidth="1"/>
    <col min="7615" max="7615" width="22.453125" style="55" bestFit="1" customWidth="1"/>
    <col min="7616" max="7616" width="20.36328125" style="55" customWidth="1"/>
    <col min="7617" max="7617" width="21" style="55" customWidth="1"/>
    <col min="7618" max="7863" width="8.90625" style="55"/>
    <col min="7864" max="7864" width="7.54296875" style="55" customWidth="1"/>
    <col min="7865" max="7865" width="59.54296875" style="55" customWidth="1"/>
    <col min="7866" max="7866" width="11.453125" style="55" customWidth="1"/>
    <col min="7867" max="7867" width="7.08984375" style="55" bestFit="1" customWidth="1"/>
    <col min="7868" max="7869" width="19.36328125" style="55" customWidth="1"/>
    <col min="7870" max="7870" width="17.36328125" style="55" customWidth="1"/>
    <col min="7871" max="7871" width="22.453125" style="55" bestFit="1" customWidth="1"/>
    <col min="7872" max="7872" width="20.36328125" style="55" customWidth="1"/>
    <col min="7873" max="7873" width="21" style="55" customWidth="1"/>
    <col min="7874" max="8119" width="8.90625" style="55"/>
    <col min="8120" max="8120" width="7.54296875" style="55" customWidth="1"/>
    <col min="8121" max="8121" width="59.54296875" style="55" customWidth="1"/>
    <col min="8122" max="8122" width="11.453125" style="55" customWidth="1"/>
    <col min="8123" max="8123" width="7.08984375" style="55" bestFit="1" customWidth="1"/>
    <col min="8124" max="8125" width="19.36328125" style="55" customWidth="1"/>
    <col min="8126" max="8126" width="17.36328125" style="55" customWidth="1"/>
    <col min="8127" max="8127" width="22.453125" style="55" bestFit="1" customWidth="1"/>
    <col min="8128" max="8128" width="20.36328125" style="55" customWidth="1"/>
    <col min="8129" max="8129" width="21" style="55" customWidth="1"/>
    <col min="8130" max="8375" width="8.90625" style="55"/>
    <col min="8376" max="8376" width="7.54296875" style="55" customWidth="1"/>
    <col min="8377" max="8377" width="59.54296875" style="55" customWidth="1"/>
    <col min="8378" max="8378" width="11.453125" style="55" customWidth="1"/>
    <col min="8379" max="8379" width="7.08984375" style="55" bestFit="1" customWidth="1"/>
    <col min="8380" max="8381" width="19.36328125" style="55" customWidth="1"/>
    <col min="8382" max="8382" width="17.36328125" style="55" customWidth="1"/>
    <col min="8383" max="8383" width="22.453125" style="55" bestFit="1" customWidth="1"/>
    <col min="8384" max="8384" width="20.36328125" style="55" customWidth="1"/>
    <col min="8385" max="8385" width="21" style="55" customWidth="1"/>
    <col min="8386" max="8631" width="8.90625" style="55"/>
    <col min="8632" max="8632" width="7.54296875" style="55" customWidth="1"/>
    <col min="8633" max="8633" width="59.54296875" style="55" customWidth="1"/>
    <col min="8634" max="8634" width="11.453125" style="55" customWidth="1"/>
    <col min="8635" max="8635" width="7.08984375" style="55" bestFit="1" customWidth="1"/>
    <col min="8636" max="8637" width="19.36328125" style="55" customWidth="1"/>
    <col min="8638" max="8638" width="17.36328125" style="55" customWidth="1"/>
    <col min="8639" max="8639" width="22.453125" style="55" bestFit="1" customWidth="1"/>
    <col min="8640" max="8640" width="20.36328125" style="55" customWidth="1"/>
    <col min="8641" max="8641" width="21" style="55" customWidth="1"/>
    <col min="8642" max="8887" width="8.90625" style="55"/>
    <col min="8888" max="8888" width="7.54296875" style="55" customWidth="1"/>
    <col min="8889" max="8889" width="59.54296875" style="55" customWidth="1"/>
    <col min="8890" max="8890" width="11.453125" style="55" customWidth="1"/>
    <col min="8891" max="8891" width="7.08984375" style="55" bestFit="1" customWidth="1"/>
    <col min="8892" max="8893" width="19.36328125" style="55" customWidth="1"/>
    <col min="8894" max="8894" width="17.36328125" style="55" customWidth="1"/>
    <col min="8895" max="8895" width="22.453125" style="55" bestFit="1" customWidth="1"/>
    <col min="8896" max="8896" width="20.36328125" style="55" customWidth="1"/>
    <col min="8897" max="8897" width="21" style="55" customWidth="1"/>
    <col min="8898" max="9143" width="8.90625" style="55"/>
    <col min="9144" max="9144" width="7.54296875" style="55" customWidth="1"/>
    <col min="9145" max="9145" width="59.54296875" style="55" customWidth="1"/>
    <col min="9146" max="9146" width="11.453125" style="55" customWidth="1"/>
    <col min="9147" max="9147" width="7.08984375" style="55" bestFit="1" customWidth="1"/>
    <col min="9148" max="9149" width="19.36328125" style="55" customWidth="1"/>
    <col min="9150" max="9150" width="17.36328125" style="55" customWidth="1"/>
    <col min="9151" max="9151" width="22.453125" style="55" bestFit="1" customWidth="1"/>
    <col min="9152" max="9152" width="20.36328125" style="55" customWidth="1"/>
    <col min="9153" max="9153" width="21" style="55" customWidth="1"/>
    <col min="9154" max="9399" width="8.90625" style="55"/>
    <col min="9400" max="9400" width="7.54296875" style="55" customWidth="1"/>
    <col min="9401" max="9401" width="59.54296875" style="55" customWidth="1"/>
    <col min="9402" max="9402" width="11.453125" style="55" customWidth="1"/>
    <col min="9403" max="9403" width="7.08984375" style="55" bestFit="1" customWidth="1"/>
    <col min="9404" max="9405" width="19.36328125" style="55" customWidth="1"/>
    <col min="9406" max="9406" width="17.36328125" style="55" customWidth="1"/>
    <col min="9407" max="9407" width="22.453125" style="55" bestFit="1" customWidth="1"/>
    <col min="9408" max="9408" width="20.36328125" style="55" customWidth="1"/>
    <col min="9409" max="9409" width="21" style="55" customWidth="1"/>
    <col min="9410" max="9655" width="8.90625" style="55"/>
    <col min="9656" max="9656" width="7.54296875" style="55" customWidth="1"/>
    <col min="9657" max="9657" width="59.54296875" style="55" customWidth="1"/>
    <col min="9658" max="9658" width="11.453125" style="55" customWidth="1"/>
    <col min="9659" max="9659" width="7.08984375" style="55" bestFit="1" customWidth="1"/>
    <col min="9660" max="9661" width="19.36328125" style="55" customWidth="1"/>
    <col min="9662" max="9662" width="17.36328125" style="55" customWidth="1"/>
    <col min="9663" max="9663" width="22.453125" style="55" bestFit="1" customWidth="1"/>
    <col min="9664" max="9664" width="20.36328125" style="55" customWidth="1"/>
    <col min="9665" max="9665" width="21" style="55" customWidth="1"/>
    <col min="9666" max="9911" width="8.90625" style="55"/>
    <col min="9912" max="9912" width="7.54296875" style="55" customWidth="1"/>
    <col min="9913" max="9913" width="59.54296875" style="55" customWidth="1"/>
    <col min="9914" max="9914" width="11.453125" style="55" customWidth="1"/>
    <col min="9915" max="9915" width="7.08984375" style="55" bestFit="1" customWidth="1"/>
    <col min="9916" max="9917" width="19.36328125" style="55" customWidth="1"/>
    <col min="9918" max="9918" width="17.36328125" style="55" customWidth="1"/>
    <col min="9919" max="9919" width="22.453125" style="55" bestFit="1" customWidth="1"/>
    <col min="9920" max="9920" width="20.36328125" style="55" customWidth="1"/>
    <col min="9921" max="9921" width="21" style="55" customWidth="1"/>
    <col min="9922" max="10167" width="8.90625" style="55"/>
    <col min="10168" max="10168" width="7.54296875" style="55" customWidth="1"/>
    <col min="10169" max="10169" width="59.54296875" style="55" customWidth="1"/>
    <col min="10170" max="10170" width="11.453125" style="55" customWidth="1"/>
    <col min="10171" max="10171" width="7.08984375" style="55" bestFit="1" customWidth="1"/>
    <col min="10172" max="10173" width="19.36328125" style="55" customWidth="1"/>
    <col min="10174" max="10174" width="17.36328125" style="55" customWidth="1"/>
    <col min="10175" max="10175" width="22.453125" style="55" bestFit="1" customWidth="1"/>
    <col min="10176" max="10176" width="20.36328125" style="55" customWidth="1"/>
    <col min="10177" max="10177" width="21" style="55" customWidth="1"/>
    <col min="10178" max="10423" width="8.90625" style="55"/>
    <col min="10424" max="10424" width="7.54296875" style="55" customWidth="1"/>
    <col min="10425" max="10425" width="59.54296875" style="55" customWidth="1"/>
    <col min="10426" max="10426" width="11.453125" style="55" customWidth="1"/>
    <col min="10427" max="10427" width="7.08984375" style="55" bestFit="1" customWidth="1"/>
    <col min="10428" max="10429" width="19.36328125" style="55" customWidth="1"/>
    <col min="10430" max="10430" width="17.36328125" style="55" customWidth="1"/>
    <col min="10431" max="10431" width="22.453125" style="55" bestFit="1" customWidth="1"/>
    <col min="10432" max="10432" width="20.36328125" style="55" customWidth="1"/>
    <col min="10433" max="10433" width="21" style="55" customWidth="1"/>
    <col min="10434" max="10679" width="8.90625" style="55"/>
    <col min="10680" max="10680" width="7.54296875" style="55" customWidth="1"/>
    <col min="10681" max="10681" width="59.54296875" style="55" customWidth="1"/>
    <col min="10682" max="10682" width="11.453125" style="55" customWidth="1"/>
    <col min="10683" max="10683" width="7.08984375" style="55" bestFit="1" customWidth="1"/>
    <col min="10684" max="10685" width="19.36328125" style="55" customWidth="1"/>
    <col min="10686" max="10686" width="17.36328125" style="55" customWidth="1"/>
    <col min="10687" max="10687" width="22.453125" style="55" bestFit="1" customWidth="1"/>
    <col min="10688" max="10688" width="20.36328125" style="55" customWidth="1"/>
    <col min="10689" max="10689" width="21" style="55" customWidth="1"/>
    <col min="10690" max="10935" width="8.90625" style="55"/>
    <col min="10936" max="10936" width="7.54296875" style="55" customWidth="1"/>
    <col min="10937" max="10937" width="59.54296875" style="55" customWidth="1"/>
    <col min="10938" max="10938" width="11.453125" style="55" customWidth="1"/>
    <col min="10939" max="10939" width="7.08984375" style="55" bestFit="1" customWidth="1"/>
    <col min="10940" max="10941" width="19.36328125" style="55" customWidth="1"/>
    <col min="10942" max="10942" width="17.36328125" style="55" customWidth="1"/>
    <col min="10943" max="10943" width="22.453125" style="55" bestFit="1" customWidth="1"/>
    <col min="10944" max="10944" width="20.36328125" style="55" customWidth="1"/>
    <col min="10945" max="10945" width="21" style="55" customWidth="1"/>
    <col min="10946" max="11191" width="8.90625" style="55"/>
    <col min="11192" max="11192" width="7.54296875" style="55" customWidth="1"/>
    <col min="11193" max="11193" width="59.54296875" style="55" customWidth="1"/>
    <col min="11194" max="11194" width="11.453125" style="55" customWidth="1"/>
    <col min="11195" max="11195" width="7.08984375" style="55" bestFit="1" customWidth="1"/>
    <col min="11196" max="11197" width="19.36328125" style="55" customWidth="1"/>
    <col min="11198" max="11198" width="17.36328125" style="55" customWidth="1"/>
    <col min="11199" max="11199" width="22.453125" style="55" bestFit="1" customWidth="1"/>
    <col min="11200" max="11200" width="20.36328125" style="55" customWidth="1"/>
    <col min="11201" max="11201" width="21" style="55" customWidth="1"/>
    <col min="11202" max="11447" width="8.90625" style="55"/>
    <col min="11448" max="11448" width="7.54296875" style="55" customWidth="1"/>
    <col min="11449" max="11449" width="59.54296875" style="55" customWidth="1"/>
    <col min="11450" max="11450" width="11.453125" style="55" customWidth="1"/>
    <col min="11451" max="11451" width="7.08984375" style="55" bestFit="1" customWidth="1"/>
    <col min="11452" max="11453" width="19.36328125" style="55" customWidth="1"/>
    <col min="11454" max="11454" width="17.36328125" style="55" customWidth="1"/>
    <col min="11455" max="11455" width="22.453125" style="55" bestFit="1" customWidth="1"/>
    <col min="11456" max="11456" width="20.36328125" style="55" customWidth="1"/>
    <col min="11457" max="11457" width="21" style="55" customWidth="1"/>
    <col min="11458" max="11703" width="8.90625" style="55"/>
    <col min="11704" max="11704" width="7.54296875" style="55" customWidth="1"/>
    <col min="11705" max="11705" width="59.54296875" style="55" customWidth="1"/>
    <col min="11706" max="11706" width="11.453125" style="55" customWidth="1"/>
    <col min="11707" max="11707" width="7.08984375" style="55" bestFit="1" customWidth="1"/>
    <col min="11708" max="11709" width="19.36328125" style="55" customWidth="1"/>
    <col min="11710" max="11710" width="17.36328125" style="55" customWidth="1"/>
    <col min="11711" max="11711" width="22.453125" style="55" bestFit="1" customWidth="1"/>
    <col min="11712" max="11712" width="20.36328125" style="55" customWidth="1"/>
    <col min="11713" max="11713" width="21" style="55" customWidth="1"/>
    <col min="11714" max="11959" width="8.90625" style="55"/>
    <col min="11960" max="11960" width="7.54296875" style="55" customWidth="1"/>
    <col min="11961" max="11961" width="59.54296875" style="55" customWidth="1"/>
    <col min="11962" max="11962" width="11.453125" style="55" customWidth="1"/>
    <col min="11963" max="11963" width="7.08984375" style="55" bestFit="1" customWidth="1"/>
    <col min="11964" max="11965" width="19.36328125" style="55" customWidth="1"/>
    <col min="11966" max="11966" width="17.36328125" style="55" customWidth="1"/>
    <col min="11967" max="11967" width="22.453125" style="55" bestFit="1" customWidth="1"/>
    <col min="11968" max="11968" width="20.36328125" style="55" customWidth="1"/>
    <col min="11969" max="11969" width="21" style="55" customWidth="1"/>
    <col min="11970" max="12215" width="8.90625" style="55"/>
    <col min="12216" max="12216" width="7.54296875" style="55" customWidth="1"/>
    <col min="12217" max="12217" width="59.54296875" style="55" customWidth="1"/>
    <col min="12218" max="12218" width="11.453125" style="55" customWidth="1"/>
    <col min="12219" max="12219" width="7.08984375" style="55" bestFit="1" customWidth="1"/>
    <col min="12220" max="12221" width="19.36328125" style="55" customWidth="1"/>
    <col min="12222" max="12222" width="17.36328125" style="55" customWidth="1"/>
    <col min="12223" max="12223" width="22.453125" style="55" bestFit="1" customWidth="1"/>
    <col min="12224" max="12224" width="20.36328125" style="55" customWidth="1"/>
    <col min="12225" max="12225" width="21" style="55" customWidth="1"/>
    <col min="12226" max="12471" width="8.90625" style="55"/>
    <col min="12472" max="12472" width="7.54296875" style="55" customWidth="1"/>
    <col min="12473" max="12473" width="59.54296875" style="55" customWidth="1"/>
    <col min="12474" max="12474" width="11.453125" style="55" customWidth="1"/>
    <col min="12475" max="12475" width="7.08984375" style="55" bestFit="1" customWidth="1"/>
    <col min="12476" max="12477" width="19.36328125" style="55" customWidth="1"/>
    <col min="12478" max="12478" width="17.36328125" style="55" customWidth="1"/>
    <col min="12479" max="12479" width="22.453125" style="55" bestFit="1" customWidth="1"/>
    <col min="12480" max="12480" width="20.36328125" style="55" customWidth="1"/>
    <col min="12481" max="12481" width="21" style="55" customWidth="1"/>
    <col min="12482" max="12727" width="8.90625" style="55"/>
    <col min="12728" max="12728" width="7.54296875" style="55" customWidth="1"/>
    <col min="12729" max="12729" width="59.54296875" style="55" customWidth="1"/>
    <col min="12730" max="12730" width="11.453125" style="55" customWidth="1"/>
    <col min="12731" max="12731" width="7.08984375" style="55" bestFit="1" customWidth="1"/>
    <col min="12732" max="12733" width="19.36328125" style="55" customWidth="1"/>
    <col min="12734" max="12734" width="17.36328125" style="55" customWidth="1"/>
    <col min="12735" max="12735" width="22.453125" style="55" bestFit="1" customWidth="1"/>
    <col min="12736" max="12736" width="20.36328125" style="55" customWidth="1"/>
    <col min="12737" max="12737" width="21" style="55" customWidth="1"/>
    <col min="12738" max="12983" width="8.90625" style="55"/>
    <col min="12984" max="12984" width="7.54296875" style="55" customWidth="1"/>
    <col min="12985" max="12985" width="59.54296875" style="55" customWidth="1"/>
    <col min="12986" max="12986" width="11.453125" style="55" customWidth="1"/>
    <col min="12987" max="12987" width="7.08984375" style="55" bestFit="1" customWidth="1"/>
    <col min="12988" max="12989" width="19.36328125" style="55" customWidth="1"/>
    <col min="12990" max="12990" width="17.36328125" style="55" customWidth="1"/>
    <col min="12991" max="12991" width="22.453125" style="55" bestFit="1" customWidth="1"/>
    <col min="12992" max="12992" width="20.36328125" style="55" customWidth="1"/>
    <col min="12993" max="12993" width="21" style="55" customWidth="1"/>
    <col min="12994" max="13239" width="8.90625" style="55"/>
    <col min="13240" max="13240" width="7.54296875" style="55" customWidth="1"/>
    <col min="13241" max="13241" width="59.54296875" style="55" customWidth="1"/>
    <col min="13242" max="13242" width="11.453125" style="55" customWidth="1"/>
    <col min="13243" max="13243" width="7.08984375" style="55" bestFit="1" customWidth="1"/>
    <col min="13244" max="13245" width="19.36328125" style="55" customWidth="1"/>
    <col min="13246" max="13246" width="17.36328125" style="55" customWidth="1"/>
    <col min="13247" max="13247" width="22.453125" style="55" bestFit="1" customWidth="1"/>
    <col min="13248" max="13248" width="20.36328125" style="55" customWidth="1"/>
    <col min="13249" max="13249" width="21" style="55" customWidth="1"/>
    <col min="13250" max="13495" width="8.90625" style="55"/>
    <col min="13496" max="13496" width="7.54296875" style="55" customWidth="1"/>
    <col min="13497" max="13497" width="59.54296875" style="55" customWidth="1"/>
    <col min="13498" max="13498" width="11.453125" style="55" customWidth="1"/>
    <col min="13499" max="13499" width="7.08984375" style="55" bestFit="1" customWidth="1"/>
    <col min="13500" max="13501" width="19.36328125" style="55" customWidth="1"/>
    <col min="13502" max="13502" width="17.36328125" style="55" customWidth="1"/>
    <col min="13503" max="13503" width="22.453125" style="55" bestFit="1" customWidth="1"/>
    <col min="13504" max="13504" width="20.36328125" style="55" customWidth="1"/>
    <col min="13505" max="13505" width="21" style="55" customWidth="1"/>
    <col min="13506" max="16384" width="8.90625" style="55"/>
  </cols>
  <sheetData>
    <row r="1" spans="1:16" s="503" customFormat="1" ht="20.5">
      <c r="A1" s="501" t="s">
        <v>188</v>
      </c>
      <c r="B1" s="502"/>
      <c r="C1" s="502"/>
      <c r="D1" s="424"/>
      <c r="E1" s="455"/>
      <c r="F1" s="455"/>
      <c r="G1" s="455"/>
      <c r="H1" s="507"/>
      <c r="I1" s="455"/>
      <c r="J1" s="508"/>
      <c r="K1" s="509"/>
      <c r="L1" s="506"/>
      <c r="M1" s="505"/>
    </row>
    <row r="2" spans="1:16" s="503" customFormat="1" ht="18">
      <c r="A2" s="14" t="s">
        <v>23</v>
      </c>
      <c r="B2" s="502"/>
      <c r="C2" s="502" t="s">
        <v>24</v>
      </c>
      <c r="D2" s="504" t="s">
        <v>187</v>
      </c>
      <c r="E2" s="455"/>
      <c r="F2" s="455"/>
      <c r="G2" s="455"/>
      <c r="H2" s="507"/>
      <c r="I2" s="455"/>
      <c r="J2" s="508"/>
      <c r="K2" s="509"/>
      <c r="L2" s="506"/>
      <c r="M2" s="505"/>
    </row>
    <row r="3" spans="1:16" s="503" customFormat="1" ht="18">
      <c r="A3" s="14" t="s">
        <v>25</v>
      </c>
      <c r="B3" s="502"/>
      <c r="C3" s="502" t="s">
        <v>24</v>
      </c>
      <c r="D3" s="504" t="s">
        <v>185</v>
      </c>
      <c r="E3" s="455"/>
      <c r="F3" s="455"/>
      <c r="G3" s="455"/>
      <c r="H3" s="507"/>
      <c r="I3" s="455"/>
      <c r="J3" s="508"/>
      <c r="K3" s="509"/>
      <c r="L3" s="506"/>
      <c r="M3" s="505"/>
    </row>
    <row r="4" spans="1:16" s="503" customFormat="1" ht="18">
      <c r="A4" s="14" t="s">
        <v>26</v>
      </c>
      <c r="B4" s="504"/>
      <c r="C4" s="504" t="s">
        <v>24</v>
      </c>
      <c r="D4" s="504" t="s">
        <v>186</v>
      </c>
      <c r="E4" s="455"/>
      <c r="F4" s="455"/>
      <c r="G4" s="455"/>
      <c r="H4" s="507"/>
      <c r="I4" s="455"/>
      <c r="J4" s="508"/>
      <c r="K4" s="509"/>
      <c r="L4" s="506"/>
      <c r="M4" s="505"/>
    </row>
    <row r="5" spans="1:16" ht="18.5" thickBot="1">
      <c r="A5" s="14"/>
      <c r="B5" s="15"/>
      <c r="C5" s="15"/>
      <c r="D5" s="15"/>
      <c r="E5" s="218"/>
      <c r="F5" s="218"/>
      <c r="G5" s="218"/>
      <c r="H5" s="218"/>
      <c r="I5" s="218"/>
      <c r="J5" s="218"/>
      <c r="K5" s="218"/>
      <c r="L5" s="218"/>
      <c r="O5" s="114"/>
    </row>
    <row r="6" spans="1:16" s="58" customFormat="1" ht="33.65" customHeight="1" thickTop="1">
      <c r="A6" s="745" t="s">
        <v>0</v>
      </c>
      <c r="B6" s="747" t="s">
        <v>1</v>
      </c>
      <c r="C6" s="748"/>
      <c r="D6" s="749"/>
      <c r="E6" s="753" t="s">
        <v>27</v>
      </c>
      <c r="F6" s="753"/>
      <c r="G6" s="489" t="s">
        <v>39</v>
      </c>
      <c r="H6" s="489" t="s">
        <v>40</v>
      </c>
      <c r="I6" s="490" t="s">
        <v>37</v>
      </c>
      <c r="J6" s="489" t="s">
        <v>41</v>
      </c>
      <c r="K6" s="489" t="s">
        <v>42</v>
      </c>
      <c r="L6" s="491" t="s">
        <v>38</v>
      </c>
      <c r="M6" s="218"/>
      <c r="N6" s="70"/>
      <c r="O6" s="488"/>
      <c r="P6" s="488"/>
    </row>
    <row r="7" spans="1:16" s="58" customFormat="1" ht="15.65" customHeight="1" thickBot="1">
      <c r="A7" s="746"/>
      <c r="B7" s="750"/>
      <c r="C7" s="751"/>
      <c r="D7" s="752"/>
      <c r="E7" s="754"/>
      <c r="F7" s="754"/>
      <c r="G7" s="111" t="s">
        <v>29</v>
      </c>
      <c r="H7" s="111" t="s">
        <v>29</v>
      </c>
      <c r="I7" s="111" t="s">
        <v>29</v>
      </c>
      <c r="J7" s="111" t="s">
        <v>29</v>
      </c>
      <c r="K7" s="111" t="s">
        <v>29</v>
      </c>
      <c r="L7" s="492" t="s">
        <v>29</v>
      </c>
      <c r="M7" s="218"/>
      <c r="N7" s="70"/>
      <c r="O7" s="488"/>
      <c r="P7" s="488"/>
    </row>
    <row r="8" spans="1:16" ht="18.5" hidden="1" thickTop="1">
      <c r="A8" s="241" t="s">
        <v>2</v>
      </c>
      <c r="B8" s="90" t="s">
        <v>54</v>
      </c>
      <c r="C8" s="59"/>
      <c r="D8" s="242"/>
      <c r="E8" s="243"/>
      <c r="F8" s="244"/>
      <c r="G8" s="245"/>
      <c r="H8" s="245"/>
      <c r="I8" s="245"/>
      <c r="J8" s="245"/>
      <c r="K8" s="245"/>
      <c r="L8" s="246"/>
    </row>
    <row r="9" spans="1:16" ht="13.5" customHeight="1" thickTop="1">
      <c r="A9" s="278" t="s">
        <v>2</v>
      </c>
      <c r="B9" s="279" t="s">
        <v>3</v>
      </c>
      <c r="C9" s="280"/>
      <c r="D9" s="281"/>
      <c r="E9" s="282"/>
      <c r="F9" s="283"/>
      <c r="G9" s="284"/>
      <c r="H9" s="284"/>
      <c r="I9" s="284"/>
      <c r="J9" s="284"/>
      <c r="K9" s="284"/>
      <c r="L9" s="285"/>
    </row>
    <row r="10" spans="1:16">
      <c r="A10" s="248">
        <v>1</v>
      </c>
      <c r="B10" s="86" t="s">
        <v>62</v>
      </c>
      <c r="C10" s="61"/>
      <c r="D10" s="84"/>
      <c r="E10" s="139">
        <v>128</v>
      </c>
      <c r="F10" s="140" t="s">
        <v>13</v>
      </c>
      <c r="G10" s="232">
        <v>10000</v>
      </c>
      <c r="H10" s="231">
        <v>10000</v>
      </c>
      <c r="I10" s="231">
        <f>H10+G10</f>
        <v>20000</v>
      </c>
      <c r="J10" s="231">
        <f>E10*G10</f>
        <v>1280000</v>
      </c>
      <c r="K10" s="231">
        <f>E10*H10</f>
        <v>1280000</v>
      </c>
      <c r="L10" s="247">
        <v>2944000</v>
      </c>
    </row>
    <row r="11" spans="1:16">
      <c r="A11" s="248">
        <v>2</v>
      </c>
      <c r="B11" s="86" t="s">
        <v>63</v>
      </c>
      <c r="C11" s="61"/>
      <c r="D11" s="84"/>
      <c r="E11" s="139">
        <v>854</v>
      </c>
      <c r="F11" s="140" t="s">
        <v>14</v>
      </c>
      <c r="G11" s="232">
        <v>0</v>
      </c>
      <c r="H11" s="231">
        <v>5000</v>
      </c>
      <c r="I11" s="231">
        <f>H11+G11</f>
        <v>5000</v>
      </c>
      <c r="J11" s="231">
        <f>E11*G11</f>
        <v>0</v>
      </c>
      <c r="K11" s="231">
        <f>E11*H11</f>
        <v>4270000</v>
      </c>
      <c r="L11" s="247">
        <v>1964200</v>
      </c>
    </row>
    <row r="12" spans="1:16">
      <c r="A12" s="248">
        <v>3</v>
      </c>
      <c r="B12" s="92" t="s">
        <v>58</v>
      </c>
      <c r="C12" s="61"/>
      <c r="D12" s="84"/>
      <c r="E12" s="141">
        <v>30</v>
      </c>
      <c r="F12" s="142" t="s">
        <v>64</v>
      </c>
      <c r="G12" s="232">
        <v>183333</v>
      </c>
      <c r="H12" s="231">
        <v>100000</v>
      </c>
      <c r="I12" s="231">
        <f t="shared" ref="I12:I104" si="0">H12+G12</f>
        <v>283333</v>
      </c>
      <c r="J12" s="231">
        <f t="shared" ref="J12:J18" si="1">E12*G12</f>
        <v>5499990</v>
      </c>
      <c r="K12" s="231">
        <f t="shared" ref="K12:K18" si="2">E12*H12</f>
        <v>3000000</v>
      </c>
      <c r="L12" s="247">
        <v>9774988.5</v>
      </c>
    </row>
    <row r="13" spans="1:16">
      <c r="A13" s="248">
        <v>4</v>
      </c>
      <c r="B13" s="92" t="s">
        <v>57</v>
      </c>
      <c r="C13" s="61"/>
      <c r="D13" s="84"/>
      <c r="E13" s="141">
        <v>1</v>
      </c>
      <c r="F13" s="142" t="s">
        <v>56</v>
      </c>
      <c r="G13" s="232">
        <v>1500000</v>
      </c>
      <c r="H13" s="231">
        <v>1000000</v>
      </c>
      <c r="I13" s="231">
        <f t="shared" si="0"/>
        <v>2500000</v>
      </c>
      <c r="J13" s="231">
        <f t="shared" si="1"/>
        <v>1500000</v>
      </c>
      <c r="K13" s="231">
        <f t="shared" si="2"/>
        <v>1000000</v>
      </c>
      <c r="L13" s="247">
        <v>2875000</v>
      </c>
    </row>
    <row r="14" spans="1:16">
      <c r="A14" s="248">
        <v>5</v>
      </c>
      <c r="B14" s="92" t="s">
        <v>60</v>
      </c>
      <c r="C14" s="61"/>
      <c r="D14" s="84"/>
      <c r="E14" s="141">
        <v>1</v>
      </c>
      <c r="F14" s="142" t="s">
        <v>56</v>
      </c>
      <c r="G14" s="232">
        <v>0</v>
      </c>
      <c r="H14" s="231">
        <v>7500000</v>
      </c>
      <c r="I14" s="231">
        <f t="shared" si="0"/>
        <v>7500000</v>
      </c>
      <c r="J14" s="231">
        <f t="shared" si="1"/>
        <v>0</v>
      </c>
      <c r="K14" s="231">
        <f t="shared" si="2"/>
        <v>7500000</v>
      </c>
      <c r="L14" s="247">
        <v>7500000</v>
      </c>
    </row>
    <row r="15" spans="1:16">
      <c r="A15" s="248">
        <v>6</v>
      </c>
      <c r="B15" s="92" t="s">
        <v>59</v>
      </c>
      <c r="C15" s="61"/>
      <c r="D15" s="84"/>
      <c r="E15" s="141">
        <v>3</v>
      </c>
      <c r="F15" s="142" t="s">
        <v>18</v>
      </c>
      <c r="G15" s="232">
        <v>111333</v>
      </c>
      <c r="H15" s="231">
        <v>39000</v>
      </c>
      <c r="I15" s="231">
        <f t="shared" si="0"/>
        <v>150333</v>
      </c>
      <c r="J15" s="231">
        <f t="shared" si="1"/>
        <v>333999</v>
      </c>
      <c r="K15" s="231">
        <f t="shared" si="2"/>
        <v>117000</v>
      </c>
      <c r="L15" s="247">
        <v>518648.85000000003</v>
      </c>
    </row>
    <row r="16" spans="1:16">
      <c r="A16" s="248">
        <v>7</v>
      </c>
      <c r="B16" s="92" t="s">
        <v>173</v>
      </c>
      <c r="C16" s="61"/>
      <c r="D16" s="84"/>
      <c r="E16" s="143">
        <v>1</v>
      </c>
      <c r="F16" s="144" t="s">
        <v>56</v>
      </c>
      <c r="G16" s="233">
        <v>10000000</v>
      </c>
      <c r="H16" s="234"/>
      <c r="I16" s="234"/>
      <c r="J16" s="234">
        <f t="shared" si="1"/>
        <v>10000000</v>
      </c>
      <c r="K16" s="234"/>
      <c r="L16" s="247">
        <v>10000000</v>
      </c>
    </row>
    <row r="17" spans="1:12">
      <c r="A17" s="248">
        <v>8</v>
      </c>
      <c r="B17" s="92" t="s">
        <v>174</v>
      </c>
      <c r="C17" s="61"/>
      <c r="D17" s="84"/>
      <c r="E17" s="143">
        <v>8</v>
      </c>
      <c r="F17" s="144" t="s">
        <v>56</v>
      </c>
      <c r="G17" s="233"/>
      <c r="H17" s="234">
        <v>1000000</v>
      </c>
      <c r="I17" s="234"/>
      <c r="J17" s="234">
        <f t="shared" si="1"/>
        <v>0</v>
      </c>
      <c r="K17" s="234">
        <f>H17*E17</f>
        <v>8000000</v>
      </c>
      <c r="L17" s="247">
        <v>8000000</v>
      </c>
    </row>
    <row r="18" spans="1:12" ht="16" thickBot="1">
      <c r="A18" s="249">
        <v>9</v>
      </c>
      <c r="B18" s="93" t="s">
        <v>47</v>
      </c>
      <c r="C18" s="208"/>
      <c r="D18" s="209"/>
      <c r="E18" s="157">
        <v>30</v>
      </c>
      <c r="F18" s="158" t="s">
        <v>14</v>
      </c>
      <c r="G18" s="233">
        <v>250000</v>
      </c>
      <c r="H18" s="234">
        <v>50000</v>
      </c>
      <c r="I18" s="234">
        <f t="shared" si="0"/>
        <v>300000</v>
      </c>
      <c r="J18" s="234">
        <f t="shared" si="1"/>
        <v>7500000</v>
      </c>
      <c r="K18" s="234">
        <f t="shared" si="2"/>
        <v>1500000</v>
      </c>
      <c r="L18" s="250">
        <v>9000000</v>
      </c>
    </row>
    <row r="19" spans="1:12" ht="16" thickBot="1">
      <c r="A19" s="251"/>
      <c r="B19" s="252"/>
      <c r="C19" s="253"/>
      <c r="D19" s="254"/>
      <c r="E19" s="255"/>
      <c r="F19" s="256"/>
      <c r="G19" s="257"/>
      <c r="H19" s="257"/>
      <c r="I19" s="258"/>
      <c r="J19" s="258"/>
      <c r="K19" s="258"/>
      <c r="L19" s="259">
        <f>SUM(L10:L18)</f>
        <v>52576837.350000001</v>
      </c>
    </row>
    <row r="20" spans="1:12" ht="9.65" customHeight="1" thickTop="1" thickBot="1">
      <c r="A20" s="260"/>
      <c r="B20" s="261"/>
      <c r="D20" s="262"/>
      <c r="E20" s="135"/>
      <c r="F20" s="136"/>
      <c r="G20" s="230"/>
      <c r="H20" s="230"/>
      <c r="I20" s="230"/>
      <c r="J20" s="230"/>
      <c r="K20" s="230"/>
      <c r="L20" s="230"/>
    </row>
    <row r="21" spans="1:12" ht="16" thickTop="1">
      <c r="A21" s="286" t="s">
        <v>4</v>
      </c>
      <c r="B21" s="287" t="s">
        <v>5</v>
      </c>
      <c r="C21" s="288"/>
      <c r="D21" s="289"/>
      <c r="E21" s="290"/>
      <c r="F21" s="288"/>
      <c r="G21" s="290"/>
      <c r="H21" s="290"/>
      <c r="I21" s="290"/>
      <c r="J21" s="290"/>
      <c r="K21" s="290"/>
      <c r="L21" s="291"/>
    </row>
    <row r="22" spans="1:12">
      <c r="A22" s="292">
        <v>1</v>
      </c>
      <c r="B22" s="293" t="s">
        <v>65</v>
      </c>
      <c r="C22" s="294"/>
      <c r="D22" s="295"/>
      <c r="E22" s="296">
        <f>0.6*0.6*0.3*50</f>
        <v>5.4</v>
      </c>
      <c r="F22" s="297" t="s">
        <v>15</v>
      </c>
      <c r="G22" s="298">
        <v>0</v>
      </c>
      <c r="H22" s="298">
        <v>65000</v>
      </c>
      <c r="I22" s="298">
        <f t="shared" ref="I22:I58" si="3">H22+G22</f>
        <v>65000</v>
      </c>
      <c r="J22" s="298">
        <f t="shared" ref="J22:J33" si="4">E22*G22</f>
        <v>0</v>
      </c>
      <c r="K22" s="298">
        <f t="shared" ref="K22:K58" si="5">E22*H22</f>
        <v>351000</v>
      </c>
      <c r="L22" s="299">
        <f>(K22+J22)*130%</f>
        <v>456300</v>
      </c>
    </row>
    <row r="23" spans="1:12">
      <c r="A23" s="292">
        <f>A22+1</f>
        <v>2</v>
      </c>
      <c r="B23" s="293" t="s">
        <v>66</v>
      </c>
      <c r="C23" s="294"/>
      <c r="D23" s="295"/>
      <c r="E23" s="296">
        <f>0.8*0.8*0.3*30</f>
        <v>5.7600000000000007</v>
      </c>
      <c r="F23" s="297" t="s">
        <v>15</v>
      </c>
      <c r="G23" s="298">
        <v>0</v>
      </c>
      <c r="H23" s="298">
        <v>65000</v>
      </c>
      <c r="I23" s="298">
        <f t="shared" si="3"/>
        <v>65000</v>
      </c>
      <c r="J23" s="298">
        <f t="shared" si="4"/>
        <v>0</v>
      </c>
      <c r="K23" s="298">
        <f t="shared" si="5"/>
        <v>374400.00000000006</v>
      </c>
      <c r="L23" s="299">
        <f>(K23+J23)*130%</f>
        <v>486720.00000000012</v>
      </c>
    </row>
    <row r="24" spans="1:12">
      <c r="A24" s="292">
        <f t="shared" ref="A24:A58" si="6">A23+1</f>
        <v>3</v>
      </c>
      <c r="B24" s="300" t="s">
        <v>67</v>
      </c>
      <c r="C24" s="294"/>
      <c r="D24" s="295"/>
      <c r="E24" s="301">
        <f>(0.6*0.6*0.05)*50</f>
        <v>0.89999999999999991</v>
      </c>
      <c r="F24" s="297" t="s">
        <v>15</v>
      </c>
      <c r="G24" s="298">
        <v>15400</v>
      </c>
      <c r="H24" s="298">
        <v>37500</v>
      </c>
      <c r="I24" s="298">
        <f t="shared" si="3"/>
        <v>52900</v>
      </c>
      <c r="J24" s="298">
        <f t="shared" si="4"/>
        <v>13859.999999999998</v>
      </c>
      <c r="K24" s="298">
        <f t="shared" si="5"/>
        <v>33750</v>
      </c>
      <c r="L24" s="299">
        <f t="shared" ref="L24:L58" si="7">K24+J24</f>
        <v>47610</v>
      </c>
    </row>
    <row r="25" spans="1:12">
      <c r="A25" s="292">
        <f t="shared" si="6"/>
        <v>4</v>
      </c>
      <c r="B25" s="300" t="s">
        <v>68</v>
      </c>
      <c r="C25" s="294"/>
      <c r="D25" s="295"/>
      <c r="E25" s="296">
        <f>(0.8*0.8*0.05)*30</f>
        <v>0.96000000000000019</v>
      </c>
      <c r="F25" s="297" t="s">
        <v>15</v>
      </c>
      <c r="G25" s="298">
        <v>15400</v>
      </c>
      <c r="H25" s="298">
        <v>37500</v>
      </c>
      <c r="I25" s="298">
        <f t="shared" si="3"/>
        <v>52900</v>
      </c>
      <c r="J25" s="298">
        <f t="shared" si="4"/>
        <v>14784.000000000004</v>
      </c>
      <c r="K25" s="298">
        <f t="shared" si="5"/>
        <v>36000.000000000007</v>
      </c>
      <c r="L25" s="299">
        <f t="shared" si="7"/>
        <v>50784.000000000015</v>
      </c>
    </row>
    <row r="26" spans="1:12">
      <c r="A26" s="292">
        <f t="shared" si="6"/>
        <v>5</v>
      </c>
      <c r="B26" s="300" t="s">
        <v>69</v>
      </c>
      <c r="C26" s="294"/>
      <c r="D26" s="295"/>
      <c r="E26" s="301">
        <f>0.6*0.6*50</f>
        <v>18</v>
      </c>
      <c r="F26" s="297" t="s">
        <v>14</v>
      </c>
      <c r="G26" s="298">
        <v>13200</v>
      </c>
      <c r="H26" s="298">
        <v>36000</v>
      </c>
      <c r="I26" s="298">
        <f t="shared" si="3"/>
        <v>49200</v>
      </c>
      <c r="J26" s="298">
        <f t="shared" si="4"/>
        <v>237600</v>
      </c>
      <c r="K26" s="298">
        <f t="shared" si="5"/>
        <v>648000</v>
      </c>
      <c r="L26" s="299">
        <f t="shared" si="7"/>
        <v>885600</v>
      </c>
    </row>
    <row r="27" spans="1:12">
      <c r="A27" s="292">
        <f t="shared" si="6"/>
        <v>6</v>
      </c>
      <c r="B27" s="300" t="s">
        <v>70</v>
      </c>
      <c r="C27" s="294"/>
      <c r="D27" s="295"/>
      <c r="E27" s="296">
        <f>0.8*0.8*30</f>
        <v>19.200000000000003</v>
      </c>
      <c r="F27" s="297" t="s">
        <v>14</v>
      </c>
      <c r="G27" s="298">
        <v>13200</v>
      </c>
      <c r="H27" s="298">
        <v>36000</v>
      </c>
      <c r="I27" s="298">
        <f t="shared" si="3"/>
        <v>49200</v>
      </c>
      <c r="J27" s="298">
        <f t="shared" si="4"/>
        <v>253440.00000000003</v>
      </c>
      <c r="K27" s="298">
        <f t="shared" si="5"/>
        <v>691200.00000000012</v>
      </c>
      <c r="L27" s="299">
        <f t="shared" si="7"/>
        <v>944640.00000000012</v>
      </c>
    </row>
    <row r="28" spans="1:12">
      <c r="A28" s="292">
        <f t="shared" si="6"/>
        <v>7</v>
      </c>
      <c r="B28" s="300" t="s">
        <v>121</v>
      </c>
      <c r="C28" s="294"/>
      <c r="D28" s="295"/>
      <c r="E28" s="296">
        <f>(0.6*0.6*0.3)*17</f>
        <v>1.8360000000000001</v>
      </c>
      <c r="F28" s="297" t="s">
        <v>15</v>
      </c>
      <c r="G28" s="298">
        <v>0</v>
      </c>
      <c r="H28" s="298">
        <v>65000</v>
      </c>
      <c r="I28" s="298">
        <f t="shared" si="3"/>
        <v>65000</v>
      </c>
      <c r="J28" s="298">
        <f t="shared" si="4"/>
        <v>0</v>
      </c>
      <c r="K28" s="298">
        <f t="shared" si="5"/>
        <v>119340</v>
      </c>
      <c r="L28" s="299">
        <f t="shared" si="7"/>
        <v>119340</v>
      </c>
    </row>
    <row r="29" spans="1:12">
      <c r="A29" s="292">
        <f t="shared" si="6"/>
        <v>8</v>
      </c>
      <c r="B29" s="300" t="s">
        <v>125</v>
      </c>
      <c r="C29" s="294"/>
      <c r="D29" s="295"/>
      <c r="E29" s="296">
        <f>(0.6*0.6*0.5)*17</f>
        <v>3.06</v>
      </c>
      <c r="F29" s="297" t="s">
        <v>15</v>
      </c>
      <c r="G29" s="298">
        <v>15400</v>
      </c>
      <c r="H29" s="298">
        <v>47500</v>
      </c>
      <c r="I29" s="298">
        <f t="shared" si="3"/>
        <v>62900</v>
      </c>
      <c r="J29" s="298">
        <f t="shared" si="4"/>
        <v>47124</v>
      </c>
      <c r="K29" s="298">
        <f t="shared" si="5"/>
        <v>145350</v>
      </c>
      <c r="L29" s="299">
        <f t="shared" si="7"/>
        <v>192474</v>
      </c>
    </row>
    <row r="30" spans="1:12">
      <c r="A30" s="292">
        <f t="shared" si="6"/>
        <v>9</v>
      </c>
      <c r="B30" s="300" t="s">
        <v>126</v>
      </c>
      <c r="C30" s="294"/>
      <c r="D30" s="295"/>
      <c r="E30" s="296">
        <f>E29</f>
        <v>3.06</v>
      </c>
      <c r="F30" s="297" t="s">
        <v>15</v>
      </c>
      <c r="G30" s="298">
        <v>13200</v>
      </c>
      <c r="H30" s="298">
        <v>36000</v>
      </c>
      <c r="I30" s="298">
        <f t="shared" si="3"/>
        <v>49200</v>
      </c>
      <c r="J30" s="298">
        <f t="shared" si="4"/>
        <v>40392</v>
      </c>
      <c r="K30" s="298">
        <f t="shared" si="5"/>
        <v>110160</v>
      </c>
      <c r="L30" s="299">
        <f t="shared" si="7"/>
        <v>150552</v>
      </c>
    </row>
    <row r="31" spans="1:12">
      <c r="A31" s="292">
        <f t="shared" si="6"/>
        <v>10</v>
      </c>
      <c r="B31" s="300" t="s">
        <v>122</v>
      </c>
      <c r="C31" s="294"/>
      <c r="D31" s="295"/>
      <c r="E31" s="296">
        <f>'[40]VOLUME BP &amp; GALIAN'!F61</f>
        <v>18.013000000000005</v>
      </c>
      <c r="F31" s="297" t="s">
        <v>15</v>
      </c>
      <c r="G31" s="298"/>
      <c r="H31" s="298">
        <v>65000</v>
      </c>
      <c r="I31" s="298">
        <f t="shared" si="3"/>
        <v>65000</v>
      </c>
      <c r="J31" s="298">
        <f t="shared" si="4"/>
        <v>0</v>
      </c>
      <c r="K31" s="298">
        <f t="shared" si="5"/>
        <v>1170845.0000000002</v>
      </c>
      <c r="L31" s="299">
        <f t="shared" si="7"/>
        <v>1170845.0000000002</v>
      </c>
    </row>
    <row r="32" spans="1:12">
      <c r="A32" s="292">
        <f t="shared" si="6"/>
        <v>11</v>
      </c>
      <c r="B32" s="300" t="s">
        <v>123</v>
      </c>
      <c r="C32" s="294"/>
      <c r="D32" s="295"/>
      <c r="E32" s="296">
        <f>'[40]VOLUME BP &amp; GALIAN'!F76</f>
        <v>9.7693750000000019</v>
      </c>
      <c r="F32" s="297" t="s">
        <v>15</v>
      </c>
      <c r="G32" s="298"/>
      <c r="H32" s="298">
        <v>65000</v>
      </c>
      <c r="I32" s="298">
        <f t="shared" si="3"/>
        <v>65000</v>
      </c>
      <c r="J32" s="298">
        <f t="shared" si="4"/>
        <v>0</v>
      </c>
      <c r="K32" s="298">
        <f t="shared" si="5"/>
        <v>635009.37500000012</v>
      </c>
      <c r="L32" s="299">
        <f t="shared" si="7"/>
        <v>635009.37500000012</v>
      </c>
    </row>
    <row r="33" spans="1:12">
      <c r="A33" s="292">
        <f t="shared" si="6"/>
        <v>12</v>
      </c>
      <c r="B33" s="300" t="s">
        <v>124</v>
      </c>
      <c r="C33" s="294"/>
      <c r="D33" s="295"/>
      <c r="E33" s="296">
        <f>'[40]VOLUME BP &amp; GALIAN'!F108</f>
        <v>5.5738799999999991</v>
      </c>
      <c r="F33" s="297" t="s">
        <v>15</v>
      </c>
      <c r="G33" s="298"/>
      <c r="H33" s="298">
        <v>65000</v>
      </c>
      <c r="I33" s="298">
        <f t="shared" si="3"/>
        <v>65000</v>
      </c>
      <c r="J33" s="298">
        <f t="shared" si="4"/>
        <v>0</v>
      </c>
      <c r="K33" s="298">
        <f t="shared" si="5"/>
        <v>362302.19999999995</v>
      </c>
      <c r="L33" s="299">
        <f t="shared" si="7"/>
        <v>362302.19999999995</v>
      </c>
    </row>
    <row r="34" spans="1:12">
      <c r="A34" s="292">
        <f t="shared" si="6"/>
        <v>13</v>
      </c>
      <c r="B34" s="300" t="s">
        <v>148</v>
      </c>
      <c r="C34" s="294"/>
      <c r="D34" s="295"/>
      <c r="E34" s="296">
        <f>E22+E23</f>
        <v>11.16</v>
      </c>
      <c r="F34" s="297" t="s">
        <v>15</v>
      </c>
      <c r="G34" s="298"/>
      <c r="H34" s="298">
        <v>35000</v>
      </c>
      <c r="I34" s="298">
        <f t="shared" si="3"/>
        <v>35000</v>
      </c>
      <c r="J34" s="298"/>
      <c r="K34" s="298">
        <f t="shared" si="5"/>
        <v>390600</v>
      </c>
      <c r="L34" s="299">
        <f t="shared" si="7"/>
        <v>390600</v>
      </c>
    </row>
    <row r="35" spans="1:12">
      <c r="A35" s="292">
        <f t="shared" si="6"/>
        <v>14</v>
      </c>
      <c r="B35" s="300" t="s">
        <v>150</v>
      </c>
      <c r="C35" s="294"/>
      <c r="D35" s="295"/>
      <c r="E35" s="301">
        <f>3.14*0.15*0.15*6*18</f>
        <v>7.6301999999999985</v>
      </c>
      <c r="F35" s="297" t="s">
        <v>15</v>
      </c>
      <c r="G35" s="298">
        <f>650000+(650000*10%)</f>
        <v>715000</v>
      </c>
      <c r="H35" s="298">
        <v>250000</v>
      </c>
      <c r="I35" s="298">
        <f t="shared" si="3"/>
        <v>965000</v>
      </c>
      <c r="J35" s="298">
        <f t="shared" ref="J35:J58" si="8">E35*G35</f>
        <v>5455592.9999999991</v>
      </c>
      <c r="K35" s="298">
        <f t="shared" si="5"/>
        <v>1907549.9999999995</v>
      </c>
      <c r="L35" s="299">
        <f t="shared" si="7"/>
        <v>7363142.9999999981</v>
      </c>
    </row>
    <row r="36" spans="1:12">
      <c r="A36" s="292">
        <f t="shared" si="6"/>
        <v>15</v>
      </c>
      <c r="B36" s="300" t="s">
        <v>151</v>
      </c>
      <c r="C36" s="294"/>
      <c r="D36" s="295"/>
      <c r="E36" s="301">
        <f>3.14*0.1*0.1*4*42</f>
        <v>5.2752000000000008</v>
      </c>
      <c r="F36" s="297" t="s">
        <v>15</v>
      </c>
      <c r="G36" s="298">
        <f>G35</f>
        <v>715000</v>
      </c>
      <c r="H36" s="298">
        <v>250000</v>
      </c>
      <c r="I36" s="298">
        <f t="shared" si="3"/>
        <v>965000</v>
      </c>
      <c r="J36" s="298">
        <f t="shared" si="8"/>
        <v>3771768.0000000005</v>
      </c>
      <c r="K36" s="298">
        <f t="shared" si="5"/>
        <v>1318800.0000000002</v>
      </c>
      <c r="L36" s="299">
        <f t="shared" si="7"/>
        <v>5090568.0000000009</v>
      </c>
    </row>
    <row r="37" spans="1:12">
      <c r="A37" s="292">
        <f t="shared" si="6"/>
        <v>16</v>
      </c>
      <c r="B37" s="300" t="s">
        <v>102</v>
      </c>
      <c r="C37" s="294"/>
      <c r="D37" s="295"/>
      <c r="E37" s="301">
        <v>877.61</v>
      </c>
      <c r="F37" s="297" t="s">
        <v>72</v>
      </c>
      <c r="G37" s="298">
        <f>8400+(8400*10%)</f>
        <v>9240</v>
      </c>
      <c r="H37" s="231">
        <v>5000</v>
      </c>
      <c r="I37" s="298">
        <f t="shared" si="3"/>
        <v>14240</v>
      </c>
      <c r="J37" s="298">
        <f t="shared" si="8"/>
        <v>8109116.4000000004</v>
      </c>
      <c r="K37" s="298">
        <f t="shared" si="5"/>
        <v>4388050</v>
      </c>
      <c r="L37" s="299">
        <f t="shared" si="7"/>
        <v>12497166.4</v>
      </c>
    </row>
    <row r="38" spans="1:12">
      <c r="A38" s="292">
        <f t="shared" si="6"/>
        <v>17</v>
      </c>
      <c r="B38" s="300" t="s">
        <v>103</v>
      </c>
      <c r="C38" s="294"/>
      <c r="D38" s="295"/>
      <c r="E38" s="301">
        <v>1411.64</v>
      </c>
      <c r="F38" s="297" t="s">
        <v>72</v>
      </c>
      <c r="G38" s="298">
        <f>G37</f>
        <v>9240</v>
      </c>
      <c r="H38" s="231">
        <v>5000</v>
      </c>
      <c r="I38" s="298">
        <f t="shared" si="3"/>
        <v>14240</v>
      </c>
      <c r="J38" s="298">
        <f t="shared" si="8"/>
        <v>13043553.600000001</v>
      </c>
      <c r="K38" s="298">
        <f t="shared" si="5"/>
        <v>7058200.0000000009</v>
      </c>
      <c r="L38" s="299">
        <f t="shared" si="7"/>
        <v>20101753.600000001</v>
      </c>
    </row>
    <row r="39" spans="1:12">
      <c r="A39" s="292">
        <f t="shared" si="6"/>
        <v>18</v>
      </c>
      <c r="B39" s="300" t="s">
        <v>104</v>
      </c>
      <c r="C39" s="294"/>
      <c r="D39" s="295"/>
      <c r="E39" s="301">
        <f>'[40]VOLUME PC'!G16</f>
        <v>5.3999999999999995</v>
      </c>
      <c r="F39" s="297" t="s">
        <v>15</v>
      </c>
      <c r="G39" s="298">
        <v>825000</v>
      </c>
      <c r="H39" s="298">
        <v>250000</v>
      </c>
      <c r="I39" s="298">
        <f t="shared" si="3"/>
        <v>1075000</v>
      </c>
      <c r="J39" s="298">
        <f t="shared" si="8"/>
        <v>4455000</v>
      </c>
      <c r="K39" s="298">
        <f t="shared" si="5"/>
        <v>1349999.9999999998</v>
      </c>
      <c r="L39" s="299">
        <f t="shared" si="7"/>
        <v>5805000</v>
      </c>
    </row>
    <row r="40" spans="1:12">
      <c r="A40" s="292">
        <f t="shared" si="6"/>
        <v>19</v>
      </c>
      <c r="B40" s="300" t="s">
        <v>105</v>
      </c>
      <c r="C40" s="294"/>
      <c r="D40" s="295"/>
      <c r="E40" s="301">
        <f>'[40]VOLUME PC'!G17</f>
        <v>7.4880000000000013</v>
      </c>
      <c r="F40" s="297" t="s">
        <v>15</v>
      </c>
      <c r="G40" s="298">
        <v>825000</v>
      </c>
      <c r="H40" s="298">
        <v>250000</v>
      </c>
      <c r="I40" s="298">
        <f t="shared" si="3"/>
        <v>1075000</v>
      </c>
      <c r="J40" s="298">
        <f t="shared" si="8"/>
        <v>6177600.0000000009</v>
      </c>
      <c r="K40" s="298">
        <f t="shared" si="5"/>
        <v>1872000.0000000002</v>
      </c>
      <c r="L40" s="299">
        <f t="shared" si="7"/>
        <v>8049600.0000000009</v>
      </c>
    </row>
    <row r="41" spans="1:12">
      <c r="A41" s="292">
        <f t="shared" si="6"/>
        <v>20</v>
      </c>
      <c r="B41" s="300" t="s">
        <v>108</v>
      </c>
      <c r="C41" s="294"/>
      <c r="D41" s="295"/>
      <c r="E41" s="301">
        <v>588.6</v>
      </c>
      <c r="F41" s="297" t="s">
        <v>72</v>
      </c>
      <c r="G41" s="298">
        <f>G38</f>
        <v>9240</v>
      </c>
      <c r="H41" s="231">
        <v>5000</v>
      </c>
      <c r="I41" s="298">
        <f t="shared" si="3"/>
        <v>14240</v>
      </c>
      <c r="J41" s="298">
        <f t="shared" si="8"/>
        <v>5438664</v>
      </c>
      <c r="K41" s="298">
        <f t="shared" si="5"/>
        <v>2943000</v>
      </c>
      <c r="L41" s="299">
        <f t="shared" si="7"/>
        <v>8381664</v>
      </c>
    </row>
    <row r="42" spans="1:12">
      <c r="A42" s="292">
        <f t="shared" si="6"/>
        <v>21</v>
      </c>
      <c r="B42" s="300" t="s">
        <v>109</v>
      </c>
      <c r="C42" s="294"/>
      <c r="D42" s="295"/>
      <c r="E42" s="301">
        <v>900.25</v>
      </c>
      <c r="F42" s="297" t="s">
        <v>72</v>
      </c>
      <c r="G42" s="298">
        <v>9240</v>
      </c>
      <c r="H42" s="231">
        <v>5000</v>
      </c>
      <c r="I42" s="298">
        <f t="shared" si="3"/>
        <v>14240</v>
      </c>
      <c r="J42" s="298">
        <f t="shared" si="8"/>
        <v>8318310</v>
      </c>
      <c r="K42" s="298">
        <f t="shared" si="5"/>
        <v>4501250</v>
      </c>
      <c r="L42" s="299">
        <f t="shared" si="7"/>
        <v>12819560</v>
      </c>
    </row>
    <row r="43" spans="1:12">
      <c r="A43" s="292">
        <f t="shared" si="6"/>
        <v>22</v>
      </c>
      <c r="B43" s="300" t="s">
        <v>110</v>
      </c>
      <c r="C43" s="294"/>
      <c r="D43" s="295"/>
      <c r="E43" s="301">
        <f>'[40]VOLUME PC'!I10</f>
        <v>39.6</v>
      </c>
      <c r="F43" s="297" t="s">
        <v>14</v>
      </c>
      <c r="G43" s="298">
        <v>102000</v>
      </c>
      <c r="H43" s="236">
        <v>68000</v>
      </c>
      <c r="I43" s="298">
        <f t="shared" si="3"/>
        <v>170000</v>
      </c>
      <c r="J43" s="298">
        <f t="shared" si="8"/>
        <v>4039200</v>
      </c>
      <c r="K43" s="298">
        <f t="shared" si="5"/>
        <v>2692800</v>
      </c>
      <c r="L43" s="299">
        <f t="shared" si="7"/>
        <v>6732000</v>
      </c>
    </row>
    <row r="44" spans="1:12">
      <c r="A44" s="292">
        <f t="shared" si="6"/>
        <v>23</v>
      </c>
      <c r="B44" s="300" t="s">
        <v>111</v>
      </c>
      <c r="C44" s="294"/>
      <c r="D44" s="295"/>
      <c r="E44" s="301">
        <f>'[40]VOLUME PC'!I11</f>
        <v>62.400000000000006</v>
      </c>
      <c r="F44" s="297" t="s">
        <v>14</v>
      </c>
      <c r="G44" s="298">
        <v>102000</v>
      </c>
      <c r="H44" s="236">
        <v>68000</v>
      </c>
      <c r="I44" s="298">
        <f t="shared" si="3"/>
        <v>170000</v>
      </c>
      <c r="J44" s="298">
        <f t="shared" si="8"/>
        <v>6364800.0000000009</v>
      </c>
      <c r="K44" s="298">
        <f t="shared" si="5"/>
        <v>4243200</v>
      </c>
      <c r="L44" s="299">
        <f t="shared" si="7"/>
        <v>10608000</v>
      </c>
    </row>
    <row r="45" spans="1:12">
      <c r="A45" s="292">
        <f t="shared" si="6"/>
        <v>24</v>
      </c>
      <c r="B45" s="300" t="s">
        <v>152</v>
      </c>
      <c r="C45" s="294"/>
      <c r="D45" s="295"/>
      <c r="E45" s="301">
        <v>326.20999999999998</v>
      </c>
      <c r="F45" s="297" t="s">
        <v>14</v>
      </c>
      <c r="G45" s="298">
        <v>70000</v>
      </c>
      <c r="H45" s="231">
        <v>5000</v>
      </c>
      <c r="I45" s="298">
        <f t="shared" si="3"/>
        <v>75000</v>
      </c>
      <c r="J45" s="298">
        <f t="shared" si="8"/>
        <v>22834700</v>
      </c>
      <c r="K45" s="298">
        <f t="shared" si="5"/>
        <v>1631050</v>
      </c>
      <c r="L45" s="299">
        <f t="shared" si="7"/>
        <v>24465750</v>
      </c>
    </row>
    <row r="46" spans="1:12">
      <c r="A46" s="292">
        <f t="shared" si="6"/>
        <v>25</v>
      </c>
      <c r="B46" s="300" t="s">
        <v>153</v>
      </c>
      <c r="C46" s="294"/>
      <c r="D46" s="295"/>
      <c r="E46" s="301">
        <f>'[40]Volume Wiremesh &amp; Lantai'!G3</f>
        <v>39.145199999999996</v>
      </c>
      <c r="F46" s="297" t="s">
        <v>15</v>
      </c>
      <c r="G46" s="298">
        <v>825000</v>
      </c>
      <c r="H46" s="298">
        <v>250000</v>
      </c>
      <c r="I46" s="298">
        <f t="shared" si="3"/>
        <v>1075000</v>
      </c>
      <c r="J46" s="298">
        <f t="shared" si="8"/>
        <v>32294789.999999996</v>
      </c>
      <c r="K46" s="298">
        <f t="shared" si="5"/>
        <v>9786299.9999999981</v>
      </c>
      <c r="L46" s="299">
        <f t="shared" si="7"/>
        <v>42081089.999999993</v>
      </c>
    </row>
    <row r="47" spans="1:12">
      <c r="A47" s="292">
        <f t="shared" si="6"/>
        <v>26</v>
      </c>
      <c r="B47" s="300" t="s">
        <v>112</v>
      </c>
      <c r="C47" s="294"/>
      <c r="D47" s="295"/>
      <c r="E47" s="301">
        <f>'[40]VOLUME BP &amp; GALIAN'!T61</f>
        <v>14.410399999999999</v>
      </c>
      <c r="F47" s="297" t="s">
        <v>15</v>
      </c>
      <c r="G47" s="298">
        <v>825000</v>
      </c>
      <c r="H47" s="298">
        <v>250000</v>
      </c>
      <c r="I47" s="298">
        <f t="shared" si="3"/>
        <v>1075000</v>
      </c>
      <c r="J47" s="298">
        <f t="shared" si="8"/>
        <v>11888580</v>
      </c>
      <c r="K47" s="298">
        <f t="shared" si="5"/>
        <v>3602600</v>
      </c>
      <c r="L47" s="299">
        <f t="shared" si="7"/>
        <v>15491180</v>
      </c>
    </row>
    <row r="48" spans="1:12">
      <c r="A48" s="292">
        <f t="shared" si="6"/>
        <v>27</v>
      </c>
      <c r="B48" s="300" t="s">
        <v>113</v>
      </c>
      <c r="C48" s="294"/>
      <c r="D48" s="295"/>
      <c r="E48" s="301">
        <f>'[40]VOLUME BP &amp; GALIAN'!T76</f>
        <v>7.9931249999999991</v>
      </c>
      <c r="F48" s="297" t="s">
        <v>15</v>
      </c>
      <c r="G48" s="298">
        <f>G45</f>
        <v>70000</v>
      </c>
      <c r="H48" s="298">
        <v>250000</v>
      </c>
      <c r="I48" s="298">
        <f t="shared" si="3"/>
        <v>320000</v>
      </c>
      <c r="J48" s="298">
        <f t="shared" si="8"/>
        <v>559518.74999999988</v>
      </c>
      <c r="K48" s="298">
        <f t="shared" si="5"/>
        <v>1998281.2499999998</v>
      </c>
      <c r="L48" s="299">
        <f t="shared" si="7"/>
        <v>2557799.9999999995</v>
      </c>
    </row>
    <row r="49" spans="1:12">
      <c r="A49" s="292">
        <f t="shared" si="6"/>
        <v>28</v>
      </c>
      <c r="B49" s="300" t="s">
        <v>114</v>
      </c>
      <c r="C49" s="294"/>
      <c r="D49" s="295"/>
      <c r="E49" s="301">
        <f>'[40]VOLUME BP &amp; GALIAN'!T109</f>
        <v>3.7159199999999997</v>
      </c>
      <c r="F49" s="297" t="s">
        <v>15</v>
      </c>
      <c r="G49" s="298">
        <f>G46</f>
        <v>825000</v>
      </c>
      <c r="H49" s="298">
        <v>250000</v>
      </c>
      <c r="I49" s="298">
        <f t="shared" si="3"/>
        <v>1075000</v>
      </c>
      <c r="J49" s="298">
        <f t="shared" si="8"/>
        <v>3065633.9999999995</v>
      </c>
      <c r="K49" s="298">
        <f t="shared" si="5"/>
        <v>928979.99999999988</v>
      </c>
      <c r="L49" s="299">
        <f t="shared" si="7"/>
        <v>3994613.9999999995</v>
      </c>
    </row>
    <row r="50" spans="1:12">
      <c r="A50" s="292">
        <f t="shared" si="6"/>
        <v>29</v>
      </c>
      <c r="B50" s="300" t="s">
        <v>115</v>
      </c>
      <c r="C50" s="294"/>
      <c r="D50" s="295"/>
      <c r="E50" s="301">
        <f>'[40]TB, Balok, Kolom'!R2</f>
        <v>1525.64</v>
      </c>
      <c r="F50" s="297" t="s">
        <v>72</v>
      </c>
      <c r="G50" s="298">
        <v>9240</v>
      </c>
      <c r="H50" s="231">
        <v>5000</v>
      </c>
      <c r="I50" s="298">
        <f t="shared" si="3"/>
        <v>14240</v>
      </c>
      <c r="J50" s="298">
        <f t="shared" si="8"/>
        <v>14096913.600000001</v>
      </c>
      <c r="K50" s="298">
        <f t="shared" si="5"/>
        <v>7628200.0000000009</v>
      </c>
      <c r="L50" s="299">
        <f t="shared" si="7"/>
        <v>21725113.600000001</v>
      </c>
    </row>
    <row r="51" spans="1:12">
      <c r="A51" s="292">
        <f t="shared" si="6"/>
        <v>30</v>
      </c>
      <c r="B51" s="300" t="s">
        <v>116</v>
      </c>
      <c r="C51" s="294"/>
      <c r="D51" s="295"/>
      <c r="E51" s="301">
        <f>'[40]TB, Balok, Kolom'!R3</f>
        <v>641.28000000000009</v>
      </c>
      <c r="F51" s="297" t="s">
        <v>72</v>
      </c>
      <c r="G51" s="298">
        <v>9240</v>
      </c>
      <c r="H51" s="231">
        <v>5000</v>
      </c>
      <c r="I51" s="298">
        <f t="shared" si="3"/>
        <v>14240</v>
      </c>
      <c r="J51" s="298">
        <f t="shared" si="8"/>
        <v>5925427.2000000011</v>
      </c>
      <c r="K51" s="298">
        <f t="shared" si="5"/>
        <v>3206400.0000000005</v>
      </c>
      <c r="L51" s="299">
        <f t="shared" si="7"/>
        <v>9131827.2000000011</v>
      </c>
    </row>
    <row r="52" spans="1:12">
      <c r="A52" s="292">
        <f t="shared" si="6"/>
        <v>31</v>
      </c>
      <c r="B52" s="300" t="s">
        <v>117</v>
      </c>
      <c r="C52" s="294"/>
      <c r="D52" s="295"/>
      <c r="E52" s="301">
        <v>624.35</v>
      </c>
      <c r="F52" s="297" t="s">
        <v>72</v>
      </c>
      <c r="G52" s="298">
        <v>9240</v>
      </c>
      <c r="H52" s="231">
        <v>5000</v>
      </c>
      <c r="I52" s="298">
        <f t="shared" si="3"/>
        <v>14240</v>
      </c>
      <c r="J52" s="298">
        <f t="shared" si="8"/>
        <v>5768994</v>
      </c>
      <c r="K52" s="298">
        <f t="shared" si="5"/>
        <v>3121750</v>
      </c>
      <c r="L52" s="299">
        <f t="shared" si="7"/>
        <v>8890744</v>
      </c>
    </row>
    <row r="53" spans="1:12">
      <c r="A53" s="292">
        <f t="shared" si="6"/>
        <v>32</v>
      </c>
      <c r="B53" s="300" t="s">
        <v>118</v>
      </c>
      <c r="C53" s="294"/>
      <c r="D53" s="295"/>
      <c r="E53" s="301">
        <f>'[40]VOLUME BP &amp; GALIAN'!M61</f>
        <v>144.10400000000004</v>
      </c>
      <c r="F53" s="297" t="s">
        <v>14</v>
      </c>
      <c r="G53" s="298">
        <v>102000</v>
      </c>
      <c r="H53" s="236">
        <v>68000</v>
      </c>
      <c r="I53" s="298">
        <f t="shared" si="3"/>
        <v>170000</v>
      </c>
      <c r="J53" s="298">
        <f t="shared" si="8"/>
        <v>14698608.000000004</v>
      </c>
      <c r="K53" s="298">
        <f t="shared" si="5"/>
        <v>9799072.0000000037</v>
      </c>
      <c r="L53" s="299">
        <f t="shared" si="7"/>
        <v>24497680.000000007</v>
      </c>
    </row>
    <row r="54" spans="1:12">
      <c r="A54" s="292">
        <f t="shared" si="6"/>
        <v>33</v>
      </c>
      <c r="B54" s="300" t="s">
        <v>119</v>
      </c>
      <c r="C54" s="294"/>
      <c r="D54" s="295"/>
      <c r="E54" s="301">
        <f>'[40]VOLUME BP &amp; GALIAN'!M76</f>
        <v>63.944999999999993</v>
      </c>
      <c r="F54" s="297" t="s">
        <v>14</v>
      </c>
      <c r="G54" s="298">
        <v>102000</v>
      </c>
      <c r="H54" s="236">
        <v>68000</v>
      </c>
      <c r="I54" s="298">
        <f t="shared" si="3"/>
        <v>170000</v>
      </c>
      <c r="J54" s="298">
        <f t="shared" si="8"/>
        <v>6522389.9999999991</v>
      </c>
      <c r="K54" s="298">
        <f t="shared" si="5"/>
        <v>4348260</v>
      </c>
      <c r="L54" s="299">
        <f t="shared" si="7"/>
        <v>10870650</v>
      </c>
    </row>
    <row r="55" spans="1:12">
      <c r="A55" s="292">
        <f t="shared" si="6"/>
        <v>34</v>
      </c>
      <c r="B55" s="300" t="s">
        <v>120</v>
      </c>
      <c r="C55" s="294"/>
      <c r="D55" s="295"/>
      <c r="E55" s="301">
        <f>'[40]VOLUME BP &amp; GALIAN'!M109</f>
        <v>57.168000000000006</v>
      </c>
      <c r="F55" s="297" t="s">
        <v>14</v>
      </c>
      <c r="G55" s="298">
        <v>102000</v>
      </c>
      <c r="H55" s="236">
        <v>68000</v>
      </c>
      <c r="I55" s="298">
        <f t="shared" si="3"/>
        <v>170000</v>
      </c>
      <c r="J55" s="298">
        <f t="shared" si="8"/>
        <v>5831136.0000000009</v>
      </c>
      <c r="K55" s="298">
        <f t="shared" si="5"/>
        <v>3887424.0000000005</v>
      </c>
      <c r="L55" s="299">
        <f t="shared" si="7"/>
        <v>9718560.0000000019</v>
      </c>
    </row>
    <row r="56" spans="1:12">
      <c r="A56" s="292">
        <f t="shared" si="6"/>
        <v>35</v>
      </c>
      <c r="B56" s="300" t="s">
        <v>154</v>
      </c>
      <c r="C56" s="294"/>
      <c r="D56" s="295"/>
      <c r="E56" s="301">
        <f>'[40]VOLUME PC'!U5</f>
        <v>770.4</v>
      </c>
      <c r="F56" s="297" t="s">
        <v>72</v>
      </c>
      <c r="G56" s="298">
        <v>9240</v>
      </c>
      <c r="H56" s="231">
        <v>5000</v>
      </c>
      <c r="I56" s="298">
        <f t="shared" si="3"/>
        <v>14240</v>
      </c>
      <c r="J56" s="298">
        <f t="shared" si="8"/>
        <v>7118496</v>
      </c>
      <c r="K56" s="298">
        <f t="shared" si="5"/>
        <v>3852000</v>
      </c>
      <c r="L56" s="299">
        <f t="shared" si="7"/>
        <v>10970496</v>
      </c>
    </row>
    <row r="57" spans="1:12">
      <c r="A57" s="292">
        <f t="shared" si="6"/>
        <v>36</v>
      </c>
      <c r="B57" s="300" t="s">
        <v>155</v>
      </c>
      <c r="C57" s="294"/>
      <c r="D57" s="295"/>
      <c r="E57" s="301">
        <f>'[40]VOLUME PC'!I12</f>
        <v>22.68</v>
      </c>
      <c r="F57" s="297" t="s">
        <v>14</v>
      </c>
      <c r="G57" s="298">
        <v>102000</v>
      </c>
      <c r="H57" s="236">
        <v>68000</v>
      </c>
      <c r="I57" s="298">
        <f t="shared" si="3"/>
        <v>170000</v>
      </c>
      <c r="J57" s="298">
        <f t="shared" si="8"/>
        <v>2313360</v>
      </c>
      <c r="K57" s="298">
        <f t="shared" si="5"/>
        <v>1542240</v>
      </c>
      <c r="L57" s="299">
        <f t="shared" si="7"/>
        <v>3855600</v>
      </c>
    </row>
    <row r="58" spans="1:12" ht="16" thickBot="1">
      <c r="A58" s="302">
        <f t="shared" si="6"/>
        <v>37</v>
      </c>
      <c r="B58" s="303" t="s">
        <v>156</v>
      </c>
      <c r="C58" s="304"/>
      <c r="D58" s="305"/>
      <c r="E58" s="306">
        <f>'[40]VOLUME PC'!G18</f>
        <v>2.2679999999999998</v>
      </c>
      <c r="F58" s="307" t="s">
        <v>15</v>
      </c>
      <c r="G58" s="298">
        <v>825000</v>
      </c>
      <c r="H58" s="298">
        <v>250000</v>
      </c>
      <c r="I58" s="308">
        <f t="shared" si="3"/>
        <v>1075000</v>
      </c>
      <c r="J58" s="308">
        <f t="shared" si="8"/>
        <v>1871099.9999999998</v>
      </c>
      <c r="K58" s="308">
        <f t="shared" si="5"/>
        <v>567000</v>
      </c>
      <c r="L58" s="309">
        <f t="shared" si="7"/>
        <v>2438100</v>
      </c>
    </row>
    <row r="59" spans="1:12" ht="16" thickBot="1">
      <c r="A59" s="265"/>
      <c r="B59" s="266" t="s">
        <v>149</v>
      </c>
      <c r="C59" s="267"/>
      <c r="D59" s="268"/>
      <c r="E59" s="269"/>
      <c r="F59" s="270"/>
      <c r="G59" s="310"/>
      <c r="H59" s="311"/>
      <c r="I59" s="311"/>
      <c r="J59" s="311"/>
      <c r="K59" s="311"/>
      <c r="L59" s="312">
        <f>SUM(L22:L58)</f>
        <v>294030436.375</v>
      </c>
    </row>
    <row r="60" spans="1:12" ht="6" customHeight="1" thickTop="1" thickBot="1">
      <c r="A60" s="313"/>
      <c r="B60" s="313"/>
      <c r="C60" s="208"/>
      <c r="D60" s="314"/>
      <c r="E60" s="315"/>
      <c r="F60" s="316"/>
      <c r="G60" s="233"/>
      <c r="H60" s="234"/>
      <c r="I60" s="234"/>
      <c r="J60" s="234"/>
      <c r="K60" s="234"/>
      <c r="L60" s="234"/>
    </row>
    <row r="61" spans="1:12" ht="16" thickTop="1">
      <c r="A61" s="493" t="s">
        <v>6</v>
      </c>
      <c r="B61" s="494" t="s">
        <v>7</v>
      </c>
      <c r="C61" s="495"/>
      <c r="D61" s="496"/>
      <c r="E61" s="497"/>
      <c r="F61" s="498"/>
      <c r="G61" s="499"/>
      <c r="H61" s="497"/>
      <c r="I61" s="497"/>
      <c r="J61" s="497"/>
      <c r="K61" s="497"/>
      <c r="L61" s="500"/>
    </row>
    <row r="62" spans="1:12">
      <c r="A62" s="248">
        <f>A58+1</f>
        <v>38</v>
      </c>
      <c r="B62" s="86" t="s">
        <v>127</v>
      </c>
      <c r="C62" s="101"/>
      <c r="D62" s="102"/>
      <c r="E62" s="151">
        <f>'[40]TB, Balok, Kolom'!N28</f>
        <v>1062.5</v>
      </c>
      <c r="F62" s="140" t="s">
        <v>72</v>
      </c>
      <c r="G62" s="235">
        <v>9240</v>
      </c>
      <c r="H62" s="231">
        <v>5000</v>
      </c>
      <c r="I62" s="236">
        <f t="shared" ref="I62:I82" si="9">H62+G62</f>
        <v>14240</v>
      </c>
      <c r="J62" s="236">
        <f t="shared" ref="J62:J82" si="10">E62*G62</f>
        <v>9817500</v>
      </c>
      <c r="K62" s="236">
        <f t="shared" ref="K62:K82" si="11">E62*H62</f>
        <v>5312500</v>
      </c>
      <c r="L62" s="263">
        <f t="shared" ref="L62:L82" si="12">K62+J62</f>
        <v>15130000</v>
      </c>
    </row>
    <row r="63" spans="1:12">
      <c r="A63" s="248">
        <f t="shared" ref="A63:A82" si="13">A62+1</f>
        <v>39</v>
      </c>
      <c r="B63" s="86" t="s">
        <v>128</v>
      </c>
      <c r="C63" s="101"/>
      <c r="D63" s="102"/>
      <c r="E63" s="151">
        <f>'[40]TB, Balok, Kolom'!O28</f>
        <v>144.47999999999999</v>
      </c>
      <c r="F63" s="140" t="s">
        <v>14</v>
      </c>
      <c r="G63" s="235">
        <v>102000</v>
      </c>
      <c r="H63" s="236">
        <v>68000</v>
      </c>
      <c r="I63" s="236">
        <f t="shared" si="9"/>
        <v>170000</v>
      </c>
      <c r="J63" s="236">
        <f t="shared" si="10"/>
        <v>14736959.999999998</v>
      </c>
      <c r="K63" s="236">
        <f t="shared" si="11"/>
        <v>9824640</v>
      </c>
      <c r="L63" s="263">
        <f t="shared" si="12"/>
        <v>24561600</v>
      </c>
    </row>
    <row r="64" spans="1:12">
      <c r="A64" s="248">
        <f t="shared" si="13"/>
        <v>40</v>
      </c>
      <c r="B64" s="86" t="s">
        <v>139</v>
      </c>
      <c r="C64" s="101"/>
      <c r="D64" s="102"/>
      <c r="E64" s="151">
        <f>'[40]TB, Balok, Kolom'!P28</f>
        <v>6.5519999999999996</v>
      </c>
      <c r="F64" s="140" t="s">
        <v>15</v>
      </c>
      <c r="G64" s="298">
        <v>825000</v>
      </c>
      <c r="H64" s="298">
        <v>250000</v>
      </c>
      <c r="I64" s="236">
        <f t="shared" si="9"/>
        <v>1075000</v>
      </c>
      <c r="J64" s="236">
        <f t="shared" si="10"/>
        <v>5405400</v>
      </c>
      <c r="K64" s="236">
        <f t="shared" si="11"/>
        <v>1638000</v>
      </c>
      <c r="L64" s="263">
        <f t="shared" si="12"/>
        <v>7043400</v>
      </c>
    </row>
    <row r="65" spans="1:12">
      <c r="A65" s="248">
        <f t="shared" si="13"/>
        <v>41</v>
      </c>
      <c r="B65" s="86" t="s">
        <v>129</v>
      </c>
      <c r="C65" s="101"/>
      <c r="D65" s="102"/>
      <c r="E65" s="151">
        <f>'[40]TB, Balok, Kolom'!N29</f>
        <v>387.5</v>
      </c>
      <c r="F65" s="140" t="s">
        <v>72</v>
      </c>
      <c r="G65" s="235">
        <v>9240</v>
      </c>
      <c r="H65" s="231">
        <v>5000</v>
      </c>
      <c r="I65" s="236">
        <f t="shared" si="9"/>
        <v>14240</v>
      </c>
      <c r="J65" s="236">
        <f t="shared" si="10"/>
        <v>3580500</v>
      </c>
      <c r="K65" s="236">
        <f t="shared" si="11"/>
        <v>1937500</v>
      </c>
      <c r="L65" s="263">
        <f t="shared" si="12"/>
        <v>5518000</v>
      </c>
    </row>
    <row r="66" spans="1:12">
      <c r="A66" s="248">
        <f t="shared" si="13"/>
        <v>42</v>
      </c>
      <c r="B66" s="86" t="s">
        <v>130</v>
      </c>
      <c r="C66" s="101"/>
      <c r="D66" s="102"/>
      <c r="E66" s="151">
        <f>'[40]TB, Balok, Kolom'!O29</f>
        <v>69.599999999999994</v>
      </c>
      <c r="F66" s="140" t="s">
        <v>14</v>
      </c>
      <c r="G66" s="235">
        <v>102000</v>
      </c>
      <c r="H66" s="236">
        <v>68000</v>
      </c>
      <c r="I66" s="236">
        <f t="shared" si="9"/>
        <v>170000</v>
      </c>
      <c r="J66" s="236">
        <f t="shared" si="10"/>
        <v>7099199.9999999991</v>
      </c>
      <c r="K66" s="236">
        <f t="shared" si="11"/>
        <v>4732800</v>
      </c>
      <c r="L66" s="263">
        <f t="shared" si="12"/>
        <v>11832000</v>
      </c>
    </row>
    <row r="67" spans="1:12">
      <c r="A67" s="248">
        <f t="shared" si="13"/>
        <v>43</v>
      </c>
      <c r="B67" s="86" t="s">
        <v>140</v>
      </c>
      <c r="C67" s="101"/>
      <c r="D67" s="102"/>
      <c r="E67" s="151">
        <f>'[40]TB, Balok, Kolom'!P29</f>
        <v>3.5100000000000002</v>
      </c>
      <c r="F67" s="140" t="s">
        <v>15</v>
      </c>
      <c r="G67" s="298">
        <v>825000</v>
      </c>
      <c r="H67" s="298">
        <v>250000</v>
      </c>
      <c r="I67" s="236">
        <f t="shared" si="9"/>
        <v>1075000</v>
      </c>
      <c r="J67" s="236">
        <f t="shared" si="10"/>
        <v>2895750</v>
      </c>
      <c r="K67" s="236">
        <f t="shared" si="11"/>
        <v>877500</v>
      </c>
      <c r="L67" s="263">
        <f t="shared" si="12"/>
        <v>3773250</v>
      </c>
    </row>
    <row r="68" spans="1:12">
      <c r="A68" s="248">
        <f t="shared" si="13"/>
        <v>44</v>
      </c>
      <c r="B68" s="86" t="s">
        <v>131</v>
      </c>
      <c r="C68" s="101"/>
      <c r="D68" s="102"/>
      <c r="E68" s="151">
        <f>'[40]TB, Balok, Kolom'!S7</f>
        <v>595.50800000000004</v>
      </c>
      <c r="F68" s="140" t="s">
        <v>72</v>
      </c>
      <c r="G68" s="235">
        <v>9240</v>
      </c>
      <c r="H68" s="231">
        <v>5000</v>
      </c>
      <c r="I68" s="236">
        <f t="shared" si="9"/>
        <v>14240</v>
      </c>
      <c r="J68" s="236">
        <f t="shared" si="10"/>
        <v>5502493.9199999999</v>
      </c>
      <c r="K68" s="236">
        <f t="shared" si="11"/>
        <v>2977540</v>
      </c>
      <c r="L68" s="263">
        <f t="shared" si="12"/>
        <v>8480033.9199999999</v>
      </c>
    </row>
    <row r="69" spans="1:12">
      <c r="A69" s="248">
        <f t="shared" si="13"/>
        <v>45</v>
      </c>
      <c r="B69" s="86" t="s">
        <v>132</v>
      </c>
      <c r="C69" s="101"/>
      <c r="D69" s="102"/>
      <c r="E69" s="151">
        <f>'[40]TB, Balok, Kolom'!P43</f>
        <v>58.520000000000017</v>
      </c>
      <c r="F69" s="140" t="s">
        <v>14</v>
      </c>
      <c r="G69" s="235">
        <v>102000</v>
      </c>
      <c r="H69" s="236">
        <v>68000</v>
      </c>
      <c r="I69" s="236">
        <f t="shared" si="9"/>
        <v>170000</v>
      </c>
      <c r="J69" s="236">
        <f t="shared" si="10"/>
        <v>5969040.0000000019</v>
      </c>
      <c r="K69" s="236">
        <f t="shared" si="11"/>
        <v>3979360.0000000014</v>
      </c>
      <c r="L69" s="263">
        <f t="shared" si="12"/>
        <v>9948400.0000000037</v>
      </c>
    </row>
    <row r="70" spans="1:12">
      <c r="A70" s="248">
        <f t="shared" si="13"/>
        <v>46</v>
      </c>
      <c r="B70" s="86" t="s">
        <v>141</v>
      </c>
      <c r="C70" s="101"/>
      <c r="D70" s="102"/>
      <c r="E70" s="151">
        <f>'[40]TB, Balok, Kolom'!Q43</f>
        <v>4.7879999999999994</v>
      </c>
      <c r="F70" s="140" t="s">
        <v>15</v>
      </c>
      <c r="G70" s="235">
        <f>G58</f>
        <v>825000</v>
      </c>
      <c r="H70" s="298">
        <v>250000</v>
      </c>
      <c r="I70" s="236">
        <f t="shared" si="9"/>
        <v>1075000</v>
      </c>
      <c r="J70" s="236">
        <f t="shared" si="10"/>
        <v>3950099.9999999995</v>
      </c>
      <c r="K70" s="236">
        <f t="shared" si="11"/>
        <v>1196999.9999999998</v>
      </c>
      <c r="L70" s="263">
        <f t="shared" si="12"/>
        <v>5147099.9999999991</v>
      </c>
    </row>
    <row r="71" spans="1:12">
      <c r="A71" s="248">
        <f t="shared" si="13"/>
        <v>47</v>
      </c>
      <c r="B71" s="86" t="s">
        <v>133</v>
      </c>
      <c r="C71" s="101"/>
      <c r="D71" s="102"/>
      <c r="E71" s="151">
        <f>'[40]TB, Balok, Kolom'!S8</f>
        <v>740.26800000000003</v>
      </c>
      <c r="F71" s="140" t="s">
        <v>72</v>
      </c>
      <c r="G71" s="235">
        <v>9240</v>
      </c>
      <c r="H71" s="231">
        <v>5000</v>
      </c>
      <c r="I71" s="236">
        <f t="shared" si="9"/>
        <v>14240</v>
      </c>
      <c r="J71" s="236">
        <f t="shared" si="10"/>
        <v>6840076.3200000003</v>
      </c>
      <c r="K71" s="236">
        <f t="shared" si="11"/>
        <v>3701340</v>
      </c>
      <c r="L71" s="263">
        <f t="shared" si="12"/>
        <v>10541416.32</v>
      </c>
    </row>
    <row r="72" spans="1:12">
      <c r="A72" s="248">
        <f t="shared" si="13"/>
        <v>48</v>
      </c>
      <c r="B72" s="86" t="s">
        <v>134</v>
      </c>
      <c r="C72" s="101"/>
      <c r="D72" s="102"/>
      <c r="E72" s="151">
        <f>'[40]TB, Balok, Kolom'!P60</f>
        <v>33.515999999999998</v>
      </c>
      <c r="F72" s="140" t="s">
        <v>14</v>
      </c>
      <c r="G72" s="235">
        <v>102000</v>
      </c>
      <c r="H72" s="236">
        <v>68000</v>
      </c>
      <c r="I72" s="236">
        <f t="shared" si="9"/>
        <v>170000</v>
      </c>
      <c r="J72" s="236">
        <f t="shared" si="10"/>
        <v>3418632</v>
      </c>
      <c r="K72" s="236">
        <f t="shared" si="11"/>
        <v>2279088</v>
      </c>
      <c r="L72" s="263">
        <f t="shared" si="12"/>
        <v>5697720</v>
      </c>
    </row>
    <row r="73" spans="1:12">
      <c r="A73" s="248">
        <f t="shared" si="13"/>
        <v>49</v>
      </c>
      <c r="B73" s="86" t="s">
        <v>142</v>
      </c>
      <c r="C73" s="101"/>
      <c r="D73" s="102"/>
      <c r="E73" s="151">
        <f>'[40]TB, Balok, Kolom'!Q60</f>
        <v>1.7289999999999992</v>
      </c>
      <c r="F73" s="140" t="s">
        <v>15</v>
      </c>
      <c r="G73" s="235">
        <f>G70</f>
        <v>825000</v>
      </c>
      <c r="H73" s="298">
        <v>250000</v>
      </c>
      <c r="I73" s="236">
        <f t="shared" si="9"/>
        <v>1075000</v>
      </c>
      <c r="J73" s="236">
        <f t="shared" si="10"/>
        <v>1426424.9999999993</v>
      </c>
      <c r="K73" s="236">
        <f t="shared" si="11"/>
        <v>432249.99999999983</v>
      </c>
      <c r="L73" s="263">
        <f t="shared" si="12"/>
        <v>1858674.9999999991</v>
      </c>
    </row>
    <row r="74" spans="1:12">
      <c r="A74" s="248">
        <f t="shared" si="13"/>
        <v>50</v>
      </c>
      <c r="B74" s="86" t="s">
        <v>135</v>
      </c>
      <c r="C74" s="101"/>
      <c r="D74" s="102"/>
      <c r="E74" s="151">
        <v>814.69</v>
      </c>
      <c r="F74" s="140" t="s">
        <v>72</v>
      </c>
      <c r="G74" s="235">
        <v>9240</v>
      </c>
      <c r="H74" s="231">
        <v>5000</v>
      </c>
      <c r="I74" s="236">
        <f t="shared" si="9"/>
        <v>14240</v>
      </c>
      <c r="J74" s="236">
        <f t="shared" si="10"/>
        <v>7527735.6000000006</v>
      </c>
      <c r="K74" s="236">
        <f t="shared" si="11"/>
        <v>4073450.0000000005</v>
      </c>
      <c r="L74" s="263">
        <f t="shared" si="12"/>
        <v>11601185.600000001</v>
      </c>
    </row>
    <row r="75" spans="1:12">
      <c r="A75" s="248">
        <f t="shared" si="13"/>
        <v>51</v>
      </c>
      <c r="B75" s="86" t="s">
        <v>136</v>
      </c>
      <c r="C75" s="101"/>
      <c r="D75" s="102"/>
      <c r="E75" s="151">
        <f>'[40]TB, Balok, Kolom'!P85</f>
        <v>69.975000000000009</v>
      </c>
      <c r="F75" s="140" t="s">
        <v>14</v>
      </c>
      <c r="G75" s="235">
        <v>102000</v>
      </c>
      <c r="H75" s="236">
        <v>68000</v>
      </c>
      <c r="I75" s="236">
        <f t="shared" si="9"/>
        <v>170000</v>
      </c>
      <c r="J75" s="236">
        <f t="shared" si="10"/>
        <v>7137450.0000000009</v>
      </c>
      <c r="K75" s="236">
        <f t="shared" si="11"/>
        <v>4758300.0000000009</v>
      </c>
      <c r="L75" s="263">
        <f t="shared" si="12"/>
        <v>11895750.000000002</v>
      </c>
    </row>
    <row r="76" spans="1:12">
      <c r="A76" s="248">
        <f t="shared" si="13"/>
        <v>52</v>
      </c>
      <c r="B76" s="86" t="s">
        <v>143</v>
      </c>
      <c r="C76" s="101"/>
      <c r="D76" s="102"/>
      <c r="E76" s="151">
        <f>'[40]TB, Balok, Kolom'!Q85</f>
        <v>4.1984999999999983</v>
      </c>
      <c r="F76" s="140" t="s">
        <v>15</v>
      </c>
      <c r="G76" s="235">
        <v>715000</v>
      </c>
      <c r="H76" s="298">
        <v>250000</v>
      </c>
      <c r="I76" s="236">
        <f t="shared" si="9"/>
        <v>965000</v>
      </c>
      <c r="J76" s="236">
        <f t="shared" si="10"/>
        <v>3001927.4999999986</v>
      </c>
      <c r="K76" s="236">
        <f t="shared" si="11"/>
        <v>1049624.9999999995</v>
      </c>
      <c r="L76" s="263">
        <f t="shared" si="12"/>
        <v>4051552.4999999981</v>
      </c>
    </row>
    <row r="77" spans="1:12">
      <c r="A77" s="248">
        <f t="shared" si="13"/>
        <v>53</v>
      </c>
      <c r="B77" s="86" t="s">
        <v>137</v>
      </c>
      <c r="C77" s="101"/>
      <c r="D77" s="102"/>
      <c r="E77" s="151">
        <f>'[40]TB, Balok, Kolom'!S10</f>
        <v>146.74412938267616</v>
      </c>
      <c r="F77" s="140" t="s">
        <v>72</v>
      </c>
      <c r="G77" s="235">
        <v>9240</v>
      </c>
      <c r="H77" s="231">
        <v>5000</v>
      </c>
      <c r="I77" s="236">
        <f t="shared" si="9"/>
        <v>14240</v>
      </c>
      <c r="J77" s="236">
        <f t="shared" si="10"/>
        <v>1355915.7554959278</v>
      </c>
      <c r="K77" s="236">
        <f t="shared" si="11"/>
        <v>733720.64691338083</v>
      </c>
      <c r="L77" s="263">
        <f t="shared" si="12"/>
        <v>2089636.4024093086</v>
      </c>
    </row>
    <row r="78" spans="1:12">
      <c r="A78" s="248">
        <f t="shared" si="13"/>
        <v>54</v>
      </c>
      <c r="B78" s="86" t="s">
        <v>138</v>
      </c>
      <c r="C78" s="101"/>
      <c r="D78" s="102"/>
      <c r="E78" s="151">
        <f>'[40]TB, Balok, Kolom'!Q205</f>
        <v>8.9840000000000018</v>
      </c>
      <c r="F78" s="140" t="s">
        <v>14</v>
      </c>
      <c r="G78" s="235">
        <v>102000</v>
      </c>
      <c r="H78" s="236">
        <v>68000</v>
      </c>
      <c r="I78" s="236">
        <f t="shared" si="9"/>
        <v>170000</v>
      </c>
      <c r="J78" s="236">
        <f t="shared" si="10"/>
        <v>916368.00000000023</v>
      </c>
      <c r="K78" s="236">
        <f t="shared" si="11"/>
        <v>610912.00000000012</v>
      </c>
      <c r="L78" s="263">
        <f t="shared" si="12"/>
        <v>1527280.0000000005</v>
      </c>
    </row>
    <row r="79" spans="1:12">
      <c r="A79" s="248">
        <f t="shared" si="13"/>
        <v>55</v>
      </c>
      <c r="B79" s="86" t="s">
        <v>144</v>
      </c>
      <c r="C79" s="101"/>
      <c r="D79" s="102"/>
      <c r="E79" s="151">
        <f>'[40]TB, Balok, Kolom'!R205</f>
        <v>0.33690000000000009</v>
      </c>
      <c r="F79" s="140" t="s">
        <v>15</v>
      </c>
      <c r="G79" s="235">
        <v>715000</v>
      </c>
      <c r="H79" s="298">
        <v>250000</v>
      </c>
      <c r="I79" s="236">
        <f t="shared" si="9"/>
        <v>965000</v>
      </c>
      <c r="J79" s="236">
        <f t="shared" si="10"/>
        <v>240883.50000000006</v>
      </c>
      <c r="K79" s="236">
        <f t="shared" si="11"/>
        <v>84225.000000000029</v>
      </c>
      <c r="L79" s="263">
        <f t="shared" si="12"/>
        <v>325108.50000000012</v>
      </c>
    </row>
    <row r="80" spans="1:12">
      <c r="A80" s="248">
        <f t="shared" si="13"/>
        <v>56</v>
      </c>
      <c r="B80" s="86" t="s">
        <v>145</v>
      </c>
      <c r="C80" s="101"/>
      <c r="D80" s="102"/>
      <c r="E80" s="151">
        <f>'[40]Volume Wiremesh &amp; Lantai'!Q19</f>
        <v>1057.02</v>
      </c>
      <c r="F80" s="140" t="s">
        <v>72</v>
      </c>
      <c r="G80" s="235">
        <v>9240</v>
      </c>
      <c r="H80" s="231">
        <v>5000</v>
      </c>
      <c r="I80" s="236">
        <f t="shared" si="9"/>
        <v>14240</v>
      </c>
      <c r="J80" s="236">
        <f t="shared" si="10"/>
        <v>9766864.8000000007</v>
      </c>
      <c r="K80" s="236">
        <f t="shared" si="11"/>
        <v>5285100</v>
      </c>
      <c r="L80" s="263">
        <f t="shared" si="12"/>
        <v>15051964.800000001</v>
      </c>
    </row>
    <row r="81" spans="1:17">
      <c r="A81" s="248">
        <f t="shared" si="13"/>
        <v>57</v>
      </c>
      <c r="B81" s="86" t="s">
        <v>146</v>
      </c>
      <c r="C81" s="101"/>
      <c r="D81" s="102"/>
      <c r="E81" s="151">
        <f>'[40]Volume Wiremesh &amp; Lantai'!F9</f>
        <v>183.99700000000001</v>
      </c>
      <c r="F81" s="140" t="s">
        <v>14</v>
      </c>
      <c r="G81" s="235">
        <v>102000</v>
      </c>
      <c r="H81" s="236">
        <v>68000</v>
      </c>
      <c r="I81" s="236">
        <f t="shared" si="9"/>
        <v>170000</v>
      </c>
      <c r="J81" s="236">
        <f t="shared" si="10"/>
        <v>18767694</v>
      </c>
      <c r="K81" s="236">
        <f t="shared" si="11"/>
        <v>12511796.000000002</v>
      </c>
      <c r="L81" s="263">
        <f t="shared" si="12"/>
        <v>31279490</v>
      </c>
    </row>
    <row r="82" spans="1:17" ht="16" thickBot="1">
      <c r="A82" s="249">
        <f t="shared" si="13"/>
        <v>58</v>
      </c>
      <c r="B82" s="93" t="s">
        <v>147</v>
      </c>
      <c r="C82" s="190"/>
      <c r="D82" s="191"/>
      <c r="E82" s="157">
        <f>'[40]Volume Wiremesh &amp; Lantai'!G9</f>
        <v>22.079639999999998</v>
      </c>
      <c r="F82" s="158" t="s">
        <v>15</v>
      </c>
      <c r="G82" s="237">
        <f>G67</f>
        <v>825000</v>
      </c>
      <c r="H82" s="298">
        <v>250000</v>
      </c>
      <c r="I82" s="238">
        <f t="shared" si="9"/>
        <v>1075000</v>
      </c>
      <c r="J82" s="238">
        <f t="shared" si="10"/>
        <v>18215702.999999996</v>
      </c>
      <c r="K82" s="238">
        <f t="shared" si="11"/>
        <v>5519909.9999999991</v>
      </c>
      <c r="L82" s="264">
        <f t="shared" si="12"/>
        <v>23735612.999999996</v>
      </c>
    </row>
    <row r="83" spans="1:17" ht="16.5" thickTop="1" thickBot="1">
      <c r="A83" s="317"/>
      <c r="B83" s="318"/>
      <c r="C83" s="319"/>
      <c r="D83" s="320"/>
      <c r="E83" s="321"/>
      <c r="F83" s="322"/>
      <c r="G83" s="323"/>
      <c r="H83" s="321"/>
      <c r="I83" s="324"/>
      <c r="J83" s="324"/>
      <c r="K83" s="324"/>
      <c r="L83" s="325">
        <f>SUM(L62:L82)</f>
        <v>211089176.04240933</v>
      </c>
    </row>
    <row r="84" spans="1:17" ht="8.4" customHeight="1" thickTop="1" thickBot="1">
      <c r="A84" s="261"/>
      <c r="B84" s="261"/>
      <c r="D84" s="262"/>
      <c r="E84" s="135"/>
      <c r="F84" s="136"/>
      <c r="G84" s="326"/>
      <c r="H84" s="230"/>
      <c r="I84" s="327"/>
      <c r="J84" s="327"/>
      <c r="K84" s="327"/>
      <c r="L84" s="327"/>
    </row>
    <row r="85" spans="1:17" ht="16" thickTop="1">
      <c r="A85" s="271" t="s">
        <v>8</v>
      </c>
      <c r="B85" s="272" t="s">
        <v>157</v>
      </c>
      <c r="C85" s="348"/>
      <c r="D85" s="349"/>
      <c r="E85" s="357"/>
      <c r="F85" s="358"/>
      <c r="G85" s="352"/>
      <c r="H85" s="353"/>
      <c r="I85" s="353"/>
      <c r="J85" s="353"/>
      <c r="K85" s="353"/>
      <c r="L85" s="354"/>
    </row>
    <row r="86" spans="1:17">
      <c r="A86" s="248">
        <v>1</v>
      </c>
      <c r="B86" s="86" t="s">
        <v>158</v>
      </c>
      <c r="C86" s="61"/>
      <c r="D86" s="64"/>
      <c r="E86" s="151">
        <v>1065</v>
      </c>
      <c r="F86" s="140" t="s">
        <v>72</v>
      </c>
      <c r="G86" s="232">
        <v>17000</v>
      </c>
      <c r="H86" s="231">
        <v>15000</v>
      </c>
      <c r="I86" s="231">
        <f t="shared" ref="I86:I90" si="14">H86+G86</f>
        <v>32000</v>
      </c>
      <c r="J86" s="231">
        <f t="shared" ref="J86:J90" si="15">E86*G86</f>
        <v>18105000</v>
      </c>
      <c r="K86" s="231">
        <f t="shared" ref="K86:K90" si="16">E86*H86</f>
        <v>15975000</v>
      </c>
      <c r="L86" s="247">
        <f>(K86+J86)</f>
        <v>34080000</v>
      </c>
    </row>
    <row r="87" spans="1:17">
      <c r="A87" s="248">
        <f t="shared" ref="A87" si="17">A86+1</f>
        <v>2</v>
      </c>
      <c r="B87" s="86" t="s">
        <v>159</v>
      </c>
      <c r="C87" s="61"/>
      <c r="D87" s="64"/>
      <c r="E87" s="151">
        <v>2340</v>
      </c>
      <c r="F87" s="140" t="s">
        <v>72</v>
      </c>
      <c r="G87" s="232">
        <v>17000</v>
      </c>
      <c r="H87" s="231">
        <v>15000</v>
      </c>
      <c r="I87" s="231">
        <f t="shared" si="14"/>
        <v>32000</v>
      </c>
      <c r="J87" s="231">
        <f t="shared" si="15"/>
        <v>39780000</v>
      </c>
      <c r="K87" s="231">
        <f t="shared" si="16"/>
        <v>35100000</v>
      </c>
      <c r="L87" s="247">
        <f t="shared" ref="L87:L90" si="18">(K87+J87)</f>
        <v>74880000</v>
      </c>
    </row>
    <row r="88" spans="1:17">
      <c r="A88" s="248">
        <v>3</v>
      </c>
      <c r="B88" s="86" t="s">
        <v>161</v>
      </c>
      <c r="C88" s="61"/>
      <c r="D88" s="64"/>
      <c r="E88" s="151">
        <v>742.4</v>
      </c>
      <c r="F88" s="140" t="s">
        <v>72</v>
      </c>
      <c r="G88" s="232">
        <v>17000</v>
      </c>
      <c r="H88" s="231">
        <v>15000</v>
      </c>
      <c r="I88" s="231">
        <f t="shared" si="14"/>
        <v>32000</v>
      </c>
      <c r="J88" s="231">
        <f t="shared" si="15"/>
        <v>12620800</v>
      </c>
      <c r="K88" s="231">
        <f t="shared" si="16"/>
        <v>11136000</v>
      </c>
      <c r="L88" s="247">
        <f t="shared" si="18"/>
        <v>23756800</v>
      </c>
    </row>
    <row r="89" spans="1:17">
      <c r="A89" s="248">
        <v>4</v>
      </c>
      <c r="B89" s="86" t="s">
        <v>160</v>
      </c>
      <c r="C89" s="61"/>
      <c r="D89" s="64"/>
      <c r="E89" s="151">
        <v>1184.4000000000001</v>
      </c>
      <c r="F89" s="140" t="s">
        <v>72</v>
      </c>
      <c r="G89" s="232">
        <v>17000</v>
      </c>
      <c r="H89" s="231">
        <v>15000</v>
      </c>
      <c r="I89" s="231">
        <f t="shared" si="14"/>
        <v>32000</v>
      </c>
      <c r="J89" s="231">
        <f t="shared" si="15"/>
        <v>20134800</v>
      </c>
      <c r="K89" s="231">
        <f t="shared" si="16"/>
        <v>17766000</v>
      </c>
      <c r="L89" s="247">
        <f t="shared" si="18"/>
        <v>37900800</v>
      </c>
    </row>
    <row r="90" spans="1:17">
      <c r="A90" s="248">
        <v>5</v>
      </c>
      <c r="B90" s="86" t="s">
        <v>162</v>
      </c>
      <c r="C90" s="61"/>
      <c r="D90" s="64"/>
      <c r="E90" s="151">
        <f>0.25*0.25*2.65*10</f>
        <v>1.65625</v>
      </c>
      <c r="F90" s="140" t="s">
        <v>15</v>
      </c>
      <c r="G90" s="298">
        <v>825000</v>
      </c>
      <c r="H90" s="298">
        <v>250000</v>
      </c>
      <c r="I90" s="231">
        <f t="shared" si="14"/>
        <v>1075000</v>
      </c>
      <c r="J90" s="231">
        <f t="shared" si="15"/>
        <v>1366406.25</v>
      </c>
      <c r="K90" s="231">
        <f t="shared" si="16"/>
        <v>414062.5</v>
      </c>
      <c r="L90" s="247">
        <f t="shared" si="18"/>
        <v>1780468.75</v>
      </c>
    </row>
    <row r="91" spans="1:17" ht="5.4" customHeight="1" thickBot="1">
      <c r="A91" s="249"/>
      <c r="B91" s="93"/>
      <c r="C91" s="208"/>
      <c r="D91" s="314"/>
      <c r="E91" s="157"/>
      <c r="F91" s="158"/>
      <c r="G91" s="233"/>
      <c r="H91" s="234"/>
      <c r="I91" s="234"/>
      <c r="J91" s="234"/>
      <c r="K91" s="234"/>
      <c r="L91" s="250"/>
    </row>
    <row r="92" spans="1:17" ht="16.5" thickTop="1" thickBot="1">
      <c r="A92" s="328"/>
      <c r="B92" s="329"/>
      <c r="C92" s="330"/>
      <c r="D92" s="331"/>
      <c r="E92" s="332"/>
      <c r="F92" s="333"/>
      <c r="G92" s="334"/>
      <c r="H92" s="335"/>
      <c r="I92" s="336"/>
      <c r="J92" s="336"/>
      <c r="K92" s="336"/>
      <c r="L92" s="337">
        <f>SUM(L86:L91)</f>
        <v>172398068.75</v>
      </c>
    </row>
    <row r="93" spans="1:17" ht="16" thickTop="1">
      <c r="A93" s="271" t="s">
        <v>9</v>
      </c>
      <c r="B93" s="272" t="s">
        <v>43</v>
      </c>
      <c r="C93" s="348"/>
      <c r="D93" s="349"/>
      <c r="E93" s="357"/>
      <c r="F93" s="358"/>
      <c r="G93" s="352"/>
      <c r="H93" s="353"/>
      <c r="I93" s="353"/>
      <c r="J93" s="353"/>
      <c r="K93" s="353"/>
      <c r="L93" s="354"/>
    </row>
    <row r="94" spans="1:17">
      <c r="A94" s="248">
        <v>1</v>
      </c>
      <c r="B94" s="86" t="s">
        <v>254</v>
      </c>
      <c r="C94" s="61"/>
      <c r="D94" s="64"/>
      <c r="E94" s="151">
        <f>497</f>
        <v>497</v>
      </c>
      <c r="F94" s="140" t="s">
        <v>14</v>
      </c>
      <c r="G94" s="232">
        <v>47670</v>
      </c>
      <c r="H94" s="231">
        <v>41000</v>
      </c>
      <c r="I94" s="231">
        <f t="shared" si="0"/>
        <v>88670</v>
      </c>
      <c r="J94" s="231">
        <f t="shared" ref="J94:J104" si="19">E94*G94</f>
        <v>23691990</v>
      </c>
      <c r="K94" s="231">
        <f t="shared" ref="K94:K104" si="20">E94*H94</f>
        <v>20377000</v>
      </c>
      <c r="L94" s="247">
        <f>(K94+J94)</f>
        <v>44068990</v>
      </c>
      <c r="N94" s="384"/>
      <c r="P94" s="487"/>
      <c r="Q94" s="384"/>
    </row>
    <row r="95" spans="1:17">
      <c r="A95" s="248">
        <f t="shared" ref="A95:A104" si="21">A94+1</f>
        <v>2</v>
      </c>
      <c r="B95" s="86" t="s">
        <v>48</v>
      </c>
      <c r="C95" s="61"/>
      <c r="D95" s="64"/>
      <c r="E95" s="151">
        <f>E94*2</f>
        <v>994</v>
      </c>
      <c r="F95" s="140" t="s">
        <v>14</v>
      </c>
      <c r="G95" s="232">
        <v>14918</v>
      </c>
      <c r="H95" s="231">
        <v>32000</v>
      </c>
      <c r="I95" s="231">
        <f t="shared" si="0"/>
        <v>46918</v>
      </c>
      <c r="J95" s="231">
        <f t="shared" si="19"/>
        <v>14828492</v>
      </c>
      <c r="K95" s="231">
        <f t="shared" si="20"/>
        <v>31808000</v>
      </c>
      <c r="L95" s="247">
        <f t="shared" ref="L95:L104" si="22">(K95+J95)</f>
        <v>46636492</v>
      </c>
    </row>
    <row r="96" spans="1:17">
      <c r="A96" s="248">
        <f t="shared" si="21"/>
        <v>3</v>
      </c>
      <c r="B96" s="86" t="s">
        <v>172</v>
      </c>
      <c r="C96" s="61"/>
      <c r="D96" s="64"/>
      <c r="E96" s="151">
        <v>994</v>
      </c>
      <c r="F96" s="140" t="s">
        <v>14</v>
      </c>
      <c r="G96" s="232">
        <v>5000</v>
      </c>
      <c r="H96" s="231">
        <v>20000</v>
      </c>
      <c r="I96" s="231">
        <f t="shared" si="0"/>
        <v>25000</v>
      </c>
      <c r="J96" s="231">
        <f t="shared" si="19"/>
        <v>4970000</v>
      </c>
      <c r="K96" s="231">
        <f t="shared" si="20"/>
        <v>19880000</v>
      </c>
      <c r="L96" s="247">
        <f t="shared" si="22"/>
        <v>24850000</v>
      </c>
    </row>
    <row r="97" spans="1:12">
      <c r="A97" s="248">
        <f t="shared" si="21"/>
        <v>4</v>
      </c>
      <c r="B97" s="86" t="s">
        <v>71</v>
      </c>
      <c r="C97" s="61"/>
      <c r="D97" s="64"/>
      <c r="E97" s="151">
        <v>314.55</v>
      </c>
      <c r="F97" s="140" t="s">
        <v>13</v>
      </c>
      <c r="G97" s="232">
        <f>G95+4100</f>
        <v>19018</v>
      </c>
      <c r="H97" s="231">
        <v>35000</v>
      </c>
      <c r="I97" s="231">
        <f t="shared" si="0"/>
        <v>54018</v>
      </c>
      <c r="J97" s="231">
        <f t="shared" si="19"/>
        <v>5982111.9000000004</v>
      </c>
      <c r="K97" s="231">
        <f t="shared" si="20"/>
        <v>11009250</v>
      </c>
      <c r="L97" s="247">
        <f t="shared" si="22"/>
        <v>16991361.899999999</v>
      </c>
    </row>
    <row r="98" spans="1:12">
      <c r="A98" s="248">
        <f t="shared" si="21"/>
        <v>5</v>
      </c>
      <c r="B98" s="86" t="s">
        <v>52</v>
      </c>
      <c r="C98" s="61"/>
      <c r="D98" s="64"/>
      <c r="E98" s="151">
        <v>138.72999999999999</v>
      </c>
      <c r="F98" s="140" t="s">
        <v>14</v>
      </c>
      <c r="G98" s="232">
        <v>90844</v>
      </c>
      <c r="H98" s="231">
        <v>32500</v>
      </c>
      <c r="I98" s="231">
        <f t="shared" si="0"/>
        <v>123344</v>
      </c>
      <c r="J98" s="231">
        <f t="shared" si="19"/>
        <v>12602788.119999999</v>
      </c>
      <c r="K98" s="231">
        <f t="shared" si="20"/>
        <v>4508725</v>
      </c>
      <c r="L98" s="247">
        <f t="shared" si="22"/>
        <v>17111513.119999997</v>
      </c>
    </row>
    <row r="99" spans="1:12">
      <c r="A99" s="248">
        <f t="shared" si="21"/>
        <v>6</v>
      </c>
      <c r="B99" s="86" t="s">
        <v>53</v>
      </c>
      <c r="C99" s="61"/>
      <c r="D99" s="64"/>
      <c r="E99" s="151">
        <v>200</v>
      </c>
      <c r="F99" s="140" t="s">
        <v>14</v>
      </c>
      <c r="G99" s="232">
        <v>47670</v>
      </c>
      <c r="H99" s="231">
        <v>28000</v>
      </c>
      <c r="I99" s="231">
        <f t="shared" si="0"/>
        <v>75670</v>
      </c>
      <c r="J99" s="231">
        <f t="shared" si="19"/>
        <v>9534000</v>
      </c>
      <c r="K99" s="231">
        <f t="shared" si="20"/>
        <v>5600000</v>
      </c>
      <c r="L99" s="247">
        <f t="shared" si="22"/>
        <v>15134000</v>
      </c>
    </row>
    <row r="100" spans="1:12">
      <c r="A100" s="248">
        <f t="shared" si="21"/>
        <v>7</v>
      </c>
      <c r="B100" s="86" t="s">
        <v>75</v>
      </c>
      <c r="C100" s="61"/>
      <c r="D100" s="64"/>
      <c r="E100" s="151">
        <f>E99</f>
        <v>200</v>
      </c>
      <c r="F100" s="140" t="s">
        <v>14</v>
      </c>
      <c r="G100" s="232">
        <v>14918</v>
      </c>
      <c r="H100" s="231">
        <v>25000</v>
      </c>
      <c r="I100" s="231">
        <f t="shared" si="0"/>
        <v>39918</v>
      </c>
      <c r="J100" s="231">
        <f t="shared" si="19"/>
        <v>2983600</v>
      </c>
      <c r="K100" s="231">
        <f t="shared" si="20"/>
        <v>5000000</v>
      </c>
      <c r="L100" s="247">
        <f t="shared" si="22"/>
        <v>7983600</v>
      </c>
    </row>
    <row r="101" spans="1:12">
      <c r="A101" s="248">
        <f t="shared" si="21"/>
        <v>8</v>
      </c>
      <c r="B101" s="86" t="s">
        <v>61</v>
      </c>
      <c r="C101" s="61"/>
      <c r="D101" s="64"/>
      <c r="E101" s="151">
        <f>0.25*8*1</f>
        <v>2</v>
      </c>
      <c r="F101" s="140" t="s">
        <v>15</v>
      </c>
      <c r="G101" s="232">
        <v>700000</v>
      </c>
      <c r="H101" s="231">
        <v>150000</v>
      </c>
      <c r="I101" s="231">
        <f t="shared" si="0"/>
        <v>850000</v>
      </c>
      <c r="J101" s="231">
        <f t="shared" si="19"/>
        <v>1400000</v>
      </c>
      <c r="K101" s="231">
        <f t="shared" si="20"/>
        <v>300000</v>
      </c>
      <c r="L101" s="247">
        <f t="shared" si="22"/>
        <v>1700000</v>
      </c>
    </row>
    <row r="102" spans="1:12">
      <c r="A102" s="248">
        <f t="shared" si="21"/>
        <v>9</v>
      </c>
      <c r="B102" s="86" t="s">
        <v>73</v>
      </c>
      <c r="C102" s="61"/>
      <c r="D102" s="64"/>
      <c r="E102" s="151">
        <v>162.80000000000001</v>
      </c>
      <c r="F102" s="140" t="s">
        <v>72</v>
      </c>
      <c r="G102" s="232">
        <v>9000</v>
      </c>
      <c r="H102" s="231">
        <v>5000</v>
      </c>
      <c r="I102" s="231">
        <f t="shared" si="0"/>
        <v>14000</v>
      </c>
      <c r="J102" s="231">
        <f t="shared" si="19"/>
        <v>1465200</v>
      </c>
      <c r="K102" s="231">
        <f t="shared" si="20"/>
        <v>814000</v>
      </c>
      <c r="L102" s="247">
        <f t="shared" si="22"/>
        <v>2279200</v>
      </c>
    </row>
    <row r="103" spans="1:12">
      <c r="A103" s="248">
        <f t="shared" si="21"/>
        <v>10</v>
      </c>
      <c r="B103" s="86" t="s">
        <v>55</v>
      </c>
      <c r="C103" s="61"/>
      <c r="D103" s="64"/>
      <c r="E103" s="157">
        <f>80*0.1</f>
        <v>8</v>
      </c>
      <c r="F103" s="158" t="s">
        <v>15</v>
      </c>
      <c r="G103" s="232">
        <v>700000</v>
      </c>
      <c r="H103" s="231">
        <v>150000</v>
      </c>
      <c r="I103" s="231">
        <f t="shared" si="0"/>
        <v>850000</v>
      </c>
      <c r="J103" s="231">
        <f t="shared" si="19"/>
        <v>5600000</v>
      </c>
      <c r="K103" s="231">
        <f t="shared" si="20"/>
        <v>1200000</v>
      </c>
      <c r="L103" s="247">
        <f t="shared" si="22"/>
        <v>6800000</v>
      </c>
    </row>
    <row r="104" spans="1:12" ht="16" thickBot="1">
      <c r="A104" s="248">
        <f t="shared" si="21"/>
        <v>11</v>
      </c>
      <c r="B104" s="93" t="s">
        <v>74</v>
      </c>
      <c r="C104" s="208"/>
      <c r="D104" s="314"/>
      <c r="E104" s="157">
        <v>80</v>
      </c>
      <c r="F104" s="158" t="s">
        <v>14</v>
      </c>
      <c r="G104" s="233">
        <v>40000</v>
      </c>
      <c r="H104" s="231">
        <v>5000</v>
      </c>
      <c r="I104" s="231">
        <f t="shared" si="0"/>
        <v>45000</v>
      </c>
      <c r="J104" s="231">
        <f t="shared" si="19"/>
        <v>3200000</v>
      </c>
      <c r="K104" s="231">
        <f t="shared" si="20"/>
        <v>400000</v>
      </c>
      <c r="L104" s="247">
        <f t="shared" si="22"/>
        <v>3600000</v>
      </c>
    </row>
    <row r="105" spans="1:12" ht="16.5" thickTop="1" thickBot="1">
      <c r="A105" s="328"/>
      <c r="B105" s="329"/>
      <c r="C105" s="330"/>
      <c r="D105" s="331"/>
      <c r="E105" s="332"/>
      <c r="F105" s="333"/>
      <c r="G105" s="334"/>
      <c r="H105" s="335"/>
      <c r="I105" s="336"/>
      <c r="J105" s="336"/>
      <c r="K105" s="336"/>
      <c r="L105" s="337">
        <f>SUM(L94:L104)</f>
        <v>187155157.02000001</v>
      </c>
    </row>
    <row r="106" spans="1:12" ht="16" thickTop="1">
      <c r="A106" s="347" t="s">
        <v>10</v>
      </c>
      <c r="B106" s="272" t="s">
        <v>19</v>
      </c>
      <c r="C106" s="348"/>
      <c r="D106" s="349"/>
      <c r="E106" s="350"/>
      <c r="F106" s="351"/>
      <c r="G106" s="352"/>
      <c r="H106" s="353"/>
      <c r="I106" s="353"/>
      <c r="J106" s="353"/>
      <c r="K106" s="353"/>
      <c r="L106" s="354"/>
    </row>
    <row r="107" spans="1:12">
      <c r="A107" s="340">
        <v>1</v>
      </c>
      <c r="B107" s="86" t="s">
        <v>167</v>
      </c>
      <c r="C107" s="61"/>
      <c r="D107" s="64"/>
      <c r="E107" s="151">
        <v>48</v>
      </c>
      <c r="F107" s="140" t="s">
        <v>17</v>
      </c>
      <c r="G107" s="232">
        <f>72000+10000</f>
        <v>82000</v>
      </c>
      <c r="H107" s="231">
        <v>15000</v>
      </c>
      <c r="I107" s="231">
        <f>H107+G107</f>
        <v>97000</v>
      </c>
      <c r="J107" s="231">
        <f>E107*G107</f>
        <v>3936000</v>
      </c>
      <c r="K107" s="231">
        <f t="shared" ref="K107:K110" si="23">E107*H107</f>
        <v>720000</v>
      </c>
      <c r="L107" s="247">
        <f t="shared" ref="L107:L110" si="24">K107+J107</f>
        <v>4656000</v>
      </c>
    </row>
    <row r="108" spans="1:12">
      <c r="A108" s="340">
        <f t="shared" ref="A108:A110" si="25">A107+1</f>
        <v>2</v>
      </c>
      <c r="B108" s="86" t="s">
        <v>168</v>
      </c>
      <c r="C108" s="61"/>
      <c r="D108" s="64"/>
      <c r="E108" s="151">
        <v>15</v>
      </c>
      <c r="F108" s="140" t="s">
        <v>17</v>
      </c>
      <c r="G108" s="232">
        <f t="shared" ref="G108:G110" si="26">72000+10000</f>
        <v>82000</v>
      </c>
      <c r="H108" s="231">
        <v>15000</v>
      </c>
      <c r="I108" s="231">
        <f t="shared" ref="I108:I110" si="27">H108+G108</f>
        <v>97000</v>
      </c>
      <c r="J108" s="231">
        <f t="shared" ref="J108:J110" si="28">E108*G108</f>
        <v>1230000</v>
      </c>
      <c r="K108" s="231">
        <f t="shared" si="23"/>
        <v>225000</v>
      </c>
      <c r="L108" s="247">
        <f t="shared" si="24"/>
        <v>1455000</v>
      </c>
    </row>
    <row r="109" spans="1:12">
      <c r="A109" s="340">
        <f t="shared" si="25"/>
        <v>3</v>
      </c>
      <c r="B109" s="86" t="s">
        <v>169</v>
      </c>
      <c r="C109" s="61"/>
      <c r="D109" s="64"/>
      <c r="E109" s="151">
        <v>11</v>
      </c>
      <c r="F109" s="140" t="s">
        <v>17</v>
      </c>
      <c r="G109" s="232">
        <f t="shared" si="26"/>
        <v>82000</v>
      </c>
      <c r="H109" s="231">
        <v>15000</v>
      </c>
      <c r="I109" s="231">
        <f t="shared" si="27"/>
        <v>97000</v>
      </c>
      <c r="J109" s="231">
        <f t="shared" si="28"/>
        <v>902000</v>
      </c>
      <c r="K109" s="231">
        <f t="shared" si="23"/>
        <v>165000</v>
      </c>
      <c r="L109" s="247">
        <f t="shared" si="24"/>
        <v>1067000</v>
      </c>
    </row>
    <row r="110" spans="1:12" ht="16" thickBot="1">
      <c r="A110" s="340">
        <f t="shared" si="25"/>
        <v>4</v>
      </c>
      <c r="B110" s="86" t="s">
        <v>170</v>
      </c>
      <c r="C110" s="61"/>
      <c r="D110" s="64"/>
      <c r="E110" s="151">
        <v>26</v>
      </c>
      <c r="F110" s="140" t="s">
        <v>16</v>
      </c>
      <c r="G110" s="232">
        <f t="shared" si="26"/>
        <v>82000</v>
      </c>
      <c r="H110" s="231">
        <v>15000</v>
      </c>
      <c r="I110" s="231">
        <f t="shared" si="27"/>
        <v>97000</v>
      </c>
      <c r="J110" s="231">
        <f t="shared" si="28"/>
        <v>2132000</v>
      </c>
      <c r="K110" s="231">
        <f t="shared" si="23"/>
        <v>390000</v>
      </c>
      <c r="L110" s="247">
        <f t="shared" si="24"/>
        <v>2522000</v>
      </c>
    </row>
    <row r="111" spans="1:12" ht="16.5" thickTop="1" thickBot="1">
      <c r="A111" s="342"/>
      <c r="B111" s="343"/>
      <c r="C111" s="330"/>
      <c r="D111" s="331"/>
      <c r="E111" s="344"/>
      <c r="F111" s="345"/>
      <c r="G111" s="334"/>
      <c r="H111" s="335"/>
      <c r="I111" s="336"/>
      <c r="J111" s="336"/>
      <c r="K111" s="336"/>
      <c r="L111" s="337">
        <f>SUM(L107:L110)</f>
        <v>9700000</v>
      </c>
    </row>
    <row r="112" spans="1:12" ht="16" thickTop="1">
      <c r="A112" s="347" t="s">
        <v>21</v>
      </c>
      <c r="B112" s="272" t="s">
        <v>12</v>
      </c>
      <c r="C112" s="273"/>
      <c r="D112" s="274"/>
      <c r="E112" s="350"/>
      <c r="F112" s="351"/>
      <c r="G112" s="276"/>
      <c r="H112" s="275"/>
      <c r="I112" s="275"/>
      <c r="J112" s="275"/>
      <c r="K112" s="275"/>
      <c r="L112" s="277"/>
    </row>
    <row r="113" spans="1:12">
      <c r="A113" s="340">
        <v>1</v>
      </c>
      <c r="B113" s="86" t="s">
        <v>32</v>
      </c>
      <c r="C113" s="101"/>
      <c r="D113" s="102"/>
      <c r="E113" s="151">
        <v>126</v>
      </c>
      <c r="F113" s="140" t="s">
        <v>13</v>
      </c>
      <c r="G113" s="235">
        <v>125882</v>
      </c>
      <c r="H113" s="236">
        <v>10000</v>
      </c>
      <c r="I113" s="236">
        <f t="shared" ref="I113:I118" si="29">H113+G113</f>
        <v>135882</v>
      </c>
      <c r="J113" s="236">
        <f t="shared" ref="J113:J118" si="30">E113*G113</f>
        <v>15861132</v>
      </c>
      <c r="K113" s="236">
        <f t="shared" ref="K113:K118" si="31">E113*H113</f>
        <v>1260000</v>
      </c>
      <c r="L113" s="263">
        <f t="shared" ref="L113:L118" si="32">K113+J113</f>
        <v>17121132</v>
      </c>
    </row>
    <row r="114" spans="1:12">
      <c r="A114" s="340">
        <f>A113+1</f>
        <v>2</v>
      </c>
      <c r="B114" s="86" t="s">
        <v>34</v>
      </c>
      <c r="C114" s="101"/>
      <c r="D114" s="102"/>
      <c r="E114" s="151">
        <v>108.5</v>
      </c>
      <c r="F114" s="140" t="s">
        <v>13</v>
      </c>
      <c r="G114" s="235">
        <v>95518</v>
      </c>
      <c r="H114" s="236">
        <v>10000</v>
      </c>
      <c r="I114" s="236">
        <f t="shared" si="29"/>
        <v>105518</v>
      </c>
      <c r="J114" s="236">
        <f t="shared" si="30"/>
        <v>10363703</v>
      </c>
      <c r="K114" s="236">
        <f t="shared" si="31"/>
        <v>1085000</v>
      </c>
      <c r="L114" s="263">
        <f t="shared" si="32"/>
        <v>11448703</v>
      </c>
    </row>
    <row r="115" spans="1:12">
      <c r="A115" s="340">
        <f t="shared" ref="A115:A117" si="33">A114+1</f>
        <v>3</v>
      </c>
      <c r="B115" s="86" t="s">
        <v>35</v>
      </c>
      <c r="C115" s="101"/>
      <c r="D115" s="102"/>
      <c r="E115" s="151">
        <v>133.30000000000001</v>
      </c>
      <c r="F115" s="140" t="s">
        <v>13</v>
      </c>
      <c r="G115" s="235">
        <v>29800</v>
      </c>
      <c r="H115" s="236">
        <v>10000</v>
      </c>
      <c r="I115" s="236">
        <f t="shared" si="29"/>
        <v>39800</v>
      </c>
      <c r="J115" s="236">
        <f t="shared" si="30"/>
        <v>3972340.0000000005</v>
      </c>
      <c r="K115" s="236">
        <f t="shared" si="31"/>
        <v>1333000</v>
      </c>
      <c r="L115" s="263">
        <f t="shared" si="32"/>
        <v>5305340</v>
      </c>
    </row>
    <row r="116" spans="1:12">
      <c r="A116" s="340">
        <f t="shared" si="33"/>
        <v>4</v>
      </c>
      <c r="B116" s="86" t="s">
        <v>171</v>
      </c>
      <c r="C116" s="101"/>
      <c r="D116" s="102"/>
      <c r="E116" s="151">
        <f>E115/2</f>
        <v>66.650000000000006</v>
      </c>
      <c r="F116" s="140" t="s">
        <v>13</v>
      </c>
      <c r="G116" s="235">
        <v>14800</v>
      </c>
      <c r="H116" s="236">
        <v>10000</v>
      </c>
      <c r="I116" s="236">
        <f t="shared" si="29"/>
        <v>24800</v>
      </c>
      <c r="J116" s="236">
        <f t="shared" si="30"/>
        <v>986420.00000000012</v>
      </c>
      <c r="K116" s="236">
        <f t="shared" si="31"/>
        <v>666500</v>
      </c>
      <c r="L116" s="263">
        <f t="shared" si="32"/>
        <v>1652920</v>
      </c>
    </row>
    <row r="117" spans="1:12">
      <c r="A117" s="340">
        <f t="shared" si="33"/>
        <v>5</v>
      </c>
      <c r="B117" s="86" t="s">
        <v>33</v>
      </c>
      <c r="C117" s="101"/>
      <c r="D117" s="102"/>
      <c r="E117" s="151">
        <f>0.75*15</f>
        <v>11.25</v>
      </c>
      <c r="F117" s="140" t="s">
        <v>13</v>
      </c>
      <c r="G117" s="235">
        <v>14800</v>
      </c>
      <c r="H117" s="236">
        <v>10000</v>
      </c>
      <c r="I117" s="236">
        <f t="shared" si="29"/>
        <v>24800</v>
      </c>
      <c r="J117" s="236">
        <f t="shared" si="30"/>
        <v>166500</v>
      </c>
      <c r="K117" s="236">
        <f t="shared" si="31"/>
        <v>112500</v>
      </c>
      <c r="L117" s="263">
        <f t="shared" si="32"/>
        <v>279000</v>
      </c>
    </row>
    <row r="118" spans="1:12" ht="16" thickBot="1">
      <c r="A118" s="341"/>
      <c r="B118" s="93"/>
      <c r="C118" s="190"/>
      <c r="D118" s="191"/>
      <c r="E118" s="157"/>
      <c r="F118" s="158"/>
      <c r="G118" s="237">
        <v>0</v>
      </c>
      <c r="H118" s="238">
        <v>0</v>
      </c>
      <c r="I118" s="238">
        <f t="shared" si="29"/>
        <v>0</v>
      </c>
      <c r="J118" s="238">
        <f t="shared" si="30"/>
        <v>0</v>
      </c>
      <c r="K118" s="238">
        <f t="shared" si="31"/>
        <v>0</v>
      </c>
      <c r="L118" s="264">
        <f t="shared" si="32"/>
        <v>0</v>
      </c>
    </row>
    <row r="119" spans="1:12" ht="16.5" thickTop="1" thickBot="1">
      <c r="A119" s="342"/>
      <c r="B119" s="343"/>
      <c r="C119" s="319"/>
      <c r="D119" s="320"/>
      <c r="E119" s="344"/>
      <c r="F119" s="345"/>
      <c r="G119" s="323"/>
      <c r="H119" s="321"/>
      <c r="I119" s="324"/>
      <c r="J119" s="324"/>
      <c r="K119" s="324"/>
      <c r="L119" s="325">
        <f>SUM(L113:L118)</f>
        <v>35807095</v>
      </c>
    </row>
    <row r="120" spans="1:12" ht="8.4" customHeight="1" thickTop="1" thickBot="1">
      <c r="A120" s="346"/>
      <c r="B120" s="93"/>
      <c r="C120" s="208"/>
      <c r="D120" s="314"/>
      <c r="E120" s="157"/>
      <c r="F120" s="158"/>
      <c r="G120" s="233"/>
      <c r="H120" s="234"/>
      <c r="I120" s="234"/>
      <c r="J120" s="234"/>
      <c r="K120" s="234"/>
      <c r="L120" s="234"/>
    </row>
    <row r="121" spans="1:12" ht="16" thickTop="1">
      <c r="A121" s="347" t="s">
        <v>22</v>
      </c>
      <c r="B121" s="272" t="s">
        <v>20</v>
      </c>
      <c r="C121" s="348"/>
      <c r="D121" s="349"/>
      <c r="E121" s="350"/>
      <c r="F121" s="351"/>
      <c r="G121" s="352"/>
      <c r="H121" s="353"/>
      <c r="I121" s="353"/>
      <c r="J121" s="353"/>
      <c r="K121" s="353"/>
      <c r="L121" s="354"/>
    </row>
    <row r="122" spans="1:12">
      <c r="A122" s="340">
        <v>1</v>
      </c>
      <c r="B122" s="86" t="s">
        <v>189</v>
      </c>
      <c r="C122" s="61"/>
      <c r="D122" s="64"/>
      <c r="E122" s="151">
        <f>(512+585.6)*2*0</f>
        <v>0</v>
      </c>
      <c r="F122" s="140" t="s">
        <v>72</v>
      </c>
      <c r="G122" s="232">
        <v>12645</v>
      </c>
      <c r="H122" s="231">
        <v>12195</v>
      </c>
      <c r="I122" s="231">
        <f t="shared" ref="I122:I128" si="34">H122+G122</f>
        <v>24840</v>
      </c>
      <c r="J122" s="231">
        <f t="shared" ref="J122:J128" si="35">E122*G122</f>
        <v>0</v>
      </c>
      <c r="K122" s="231">
        <f t="shared" ref="K122:K128" si="36">E122*H122</f>
        <v>0</v>
      </c>
      <c r="L122" s="247">
        <f t="shared" ref="L122:L128" si="37">K122+J122</f>
        <v>0</v>
      </c>
    </row>
    <row r="123" spans="1:12">
      <c r="A123" s="340">
        <f>A122+1</f>
        <v>2</v>
      </c>
      <c r="B123" s="86" t="s">
        <v>76</v>
      </c>
      <c r="C123" s="61"/>
      <c r="D123" s="64"/>
      <c r="E123" s="151">
        <f>(7.2*17.9)+(8.3*17.9)</f>
        <v>277.45</v>
      </c>
      <c r="F123" s="140" t="s">
        <v>14</v>
      </c>
      <c r="G123" s="232">
        <v>100000</v>
      </c>
      <c r="H123" s="231">
        <v>43000</v>
      </c>
      <c r="I123" s="231">
        <f t="shared" si="34"/>
        <v>143000</v>
      </c>
      <c r="J123" s="231">
        <f t="shared" si="35"/>
        <v>27745000</v>
      </c>
      <c r="K123" s="231">
        <f t="shared" si="36"/>
        <v>11930350</v>
      </c>
      <c r="L123" s="247">
        <f t="shared" si="37"/>
        <v>39675350</v>
      </c>
    </row>
    <row r="124" spans="1:12">
      <c r="A124" s="340">
        <f t="shared" ref="A124:A125" si="38">A123+1</f>
        <v>3</v>
      </c>
      <c r="B124" s="86" t="s">
        <v>77</v>
      </c>
      <c r="C124" s="61"/>
      <c r="D124" s="64"/>
      <c r="E124" s="157">
        <v>17.899999999999999</v>
      </c>
      <c r="F124" s="158" t="s">
        <v>13</v>
      </c>
      <c r="G124" s="233">
        <v>95700</v>
      </c>
      <c r="H124" s="234">
        <v>40000</v>
      </c>
      <c r="I124" s="231">
        <f t="shared" si="34"/>
        <v>135700</v>
      </c>
      <c r="J124" s="231">
        <f t="shared" si="35"/>
        <v>1713029.9999999998</v>
      </c>
      <c r="K124" s="231">
        <f t="shared" si="36"/>
        <v>716000</v>
      </c>
      <c r="L124" s="247">
        <f t="shared" si="37"/>
        <v>2429030</v>
      </c>
    </row>
    <row r="125" spans="1:12">
      <c r="A125" s="340">
        <f t="shared" si="38"/>
        <v>4</v>
      </c>
      <c r="B125" s="86" t="s">
        <v>50</v>
      </c>
      <c r="C125" s="61"/>
      <c r="D125" s="64"/>
      <c r="E125" s="157">
        <f>E124*2</f>
        <v>35.799999999999997</v>
      </c>
      <c r="F125" s="158" t="s">
        <v>13</v>
      </c>
      <c r="G125" s="233">
        <v>75000</v>
      </c>
      <c r="H125" s="234">
        <v>20000</v>
      </c>
      <c r="I125" s="231">
        <f t="shared" si="34"/>
        <v>95000</v>
      </c>
      <c r="J125" s="231">
        <f t="shared" si="35"/>
        <v>2685000</v>
      </c>
      <c r="K125" s="231">
        <f t="shared" si="36"/>
        <v>716000</v>
      </c>
      <c r="L125" s="247">
        <f t="shared" si="37"/>
        <v>3401000</v>
      </c>
    </row>
    <row r="126" spans="1:12">
      <c r="A126" s="340">
        <v>5</v>
      </c>
      <c r="B126" s="86" t="s">
        <v>49</v>
      </c>
      <c r="C126" s="61"/>
      <c r="D126" s="64"/>
      <c r="E126" s="157">
        <v>31</v>
      </c>
      <c r="F126" s="158" t="s">
        <v>13</v>
      </c>
      <c r="G126" s="233">
        <v>52000</v>
      </c>
      <c r="H126" s="234">
        <v>20000</v>
      </c>
      <c r="I126" s="231">
        <f t="shared" si="34"/>
        <v>72000</v>
      </c>
      <c r="J126" s="231">
        <f t="shared" si="35"/>
        <v>1612000</v>
      </c>
      <c r="K126" s="231">
        <f t="shared" si="36"/>
        <v>620000</v>
      </c>
      <c r="L126" s="247">
        <f t="shared" si="37"/>
        <v>2232000</v>
      </c>
    </row>
    <row r="127" spans="1:12">
      <c r="A127" s="340">
        <v>6</v>
      </c>
      <c r="B127" s="86" t="s">
        <v>78</v>
      </c>
      <c r="C127" s="61"/>
      <c r="D127" s="64"/>
      <c r="E127" s="157">
        <f>(4.3*4.1)</f>
        <v>17.63</v>
      </c>
      <c r="F127" s="158" t="s">
        <v>14</v>
      </c>
      <c r="G127" s="233">
        <v>116600</v>
      </c>
      <c r="H127" s="234">
        <v>30000</v>
      </c>
      <c r="I127" s="231">
        <f t="shared" si="34"/>
        <v>146600</v>
      </c>
      <c r="J127" s="231">
        <f t="shared" si="35"/>
        <v>2055658</v>
      </c>
      <c r="K127" s="231">
        <f t="shared" si="36"/>
        <v>528900</v>
      </c>
      <c r="L127" s="247">
        <f t="shared" si="37"/>
        <v>2584558</v>
      </c>
    </row>
    <row r="128" spans="1:12" ht="16" thickBot="1">
      <c r="A128" s="341">
        <v>7</v>
      </c>
      <c r="B128" s="93" t="s">
        <v>79</v>
      </c>
      <c r="C128" s="208"/>
      <c r="D128" s="314"/>
      <c r="E128" s="157">
        <f>(4.3*4.1)</f>
        <v>17.63</v>
      </c>
      <c r="F128" s="158" t="s">
        <v>14</v>
      </c>
      <c r="G128" s="233">
        <v>125000</v>
      </c>
      <c r="H128" s="234">
        <v>50000</v>
      </c>
      <c r="I128" s="234">
        <f t="shared" si="34"/>
        <v>175000</v>
      </c>
      <c r="J128" s="234">
        <f t="shared" si="35"/>
        <v>2203750</v>
      </c>
      <c r="K128" s="234">
        <f t="shared" si="36"/>
        <v>881500</v>
      </c>
      <c r="L128" s="250">
        <f t="shared" si="37"/>
        <v>3085250</v>
      </c>
    </row>
    <row r="129" spans="1:12" ht="16.5" thickTop="1" thickBot="1">
      <c r="A129" s="342"/>
      <c r="B129" s="343"/>
      <c r="C129" s="330"/>
      <c r="D129" s="331"/>
      <c r="E129" s="344"/>
      <c r="F129" s="345"/>
      <c r="G129" s="334"/>
      <c r="H129" s="335"/>
      <c r="I129" s="336"/>
      <c r="J129" s="336"/>
      <c r="K129" s="336"/>
      <c r="L129" s="337">
        <f>SUM(L122:L128)</f>
        <v>53407188</v>
      </c>
    </row>
    <row r="130" spans="1:12" ht="5.4" customHeight="1" thickTop="1" thickBot="1">
      <c r="A130" s="338"/>
      <c r="B130" s="186"/>
      <c r="D130" s="262"/>
      <c r="E130" s="339"/>
      <c r="F130" s="187"/>
      <c r="G130" s="326"/>
      <c r="H130" s="230"/>
      <c r="I130" s="327"/>
      <c r="J130" s="327"/>
      <c r="K130" s="327"/>
      <c r="L130" s="327"/>
    </row>
    <row r="131" spans="1:12" ht="16" thickTop="1">
      <c r="A131" s="474" t="s">
        <v>11</v>
      </c>
      <c r="B131" s="475" t="s">
        <v>192</v>
      </c>
      <c r="C131" s="483"/>
      <c r="D131" s="484"/>
      <c r="E131" s="478"/>
      <c r="F131" s="479"/>
      <c r="G131" s="480"/>
      <c r="H131" s="481"/>
      <c r="I131" s="485"/>
      <c r="J131" s="485"/>
      <c r="K131" s="485"/>
      <c r="L131" s="486"/>
    </row>
    <row r="132" spans="1:12">
      <c r="A132" s="340"/>
      <c r="B132" s="86" t="s">
        <v>191</v>
      </c>
      <c r="C132" s="61"/>
      <c r="D132" s="64"/>
      <c r="E132" s="230">
        <f>18*6*0.12</f>
        <v>12.959999999999999</v>
      </c>
      <c r="F132" s="154" t="s">
        <v>15</v>
      </c>
      <c r="G132" s="231">
        <v>750000</v>
      </c>
      <c r="H132" s="231">
        <v>250000</v>
      </c>
      <c r="I132" s="231">
        <f>H132+G132</f>
        <v>1000000</v>
      </c>
      <c r="J132" s="231">
        <f>G132*E132</f>
        <v>9720000</v>
      </c>
      <c r="K132" s="231">
        <f>H132*E132</f>
        <v>3240000</v>
      </c>
      <c r="L132" s="247">
        <f>J132+K132</f>
        <v>12960000</v>
      </c>
    </row>
    <row r="133" spans="1:12" ht="16" thickBot="1">
      <c r="A133" s="341"/>
      <c r="B133" s="93" t="s">
        <v>190</v>
      </c>
      <c r="C133" s="208"/>
      <c r="D133" s="314"/>
      <c r="E133" s="339">
        <v>12</v>
      </c>
      <c r="F133" s="187" t="s">
        <v>14</v>
      </c>
      <c r="G133" s="230">
        <f>850000/(5.4*2.4)</f>
        <v>65586.419753086418</v>
      </c>
      <c r="H133" s="230">
        <v>67000</v>
      </c>
      <c r="I133" s="230">
        <f>G133+H133</f>
        <v>132586.4197530864</v>
      </c>
      <c r="J133" s="230">
        <f>G133*E133</f>
        <v>787037.03703703708</v>
      </c>
      <c r="K133" s="230">
        <f>H133*E133</f>
        <v>804000</v>
      </c>
      <c r="L133" s="356">
        <f>J133+K133</f>
        <v>1591037.0370370371</v>
      </c>
    </row>
    <row r="134" spans="1:12" ht="16.5" thickTop="1" thickBot="1">
      <c r="A134" s="342"/>
      <c r="B134" s="343"/>
      <c r="C134" s="330"/>
      <c r="D134" s="331"/>
      <c r="E134" s="344"/>
      <c r="F134" s="345"/>
      <c r="G134" s="334"/>
      <c r="H134" s="335"/>
      <c r="I134" s="335"/>
      <c r="J134" s="335"/>
      <c r="K134" s="335"/>
      <c r="L134" s="337">
        <f>SUM(L132:L133)</f>
        <v>14551037.037037037</v>
      </c>
    </row>
    <row r="135" spans="1:12" ht="16" thickTop="1">
      <c r="A135" s="474" t="s">
        <v>31</v>
      </c>
      <c r="B135" s="475" t="s">
        <v>44</v>
      </c>
      <c r="C135" s="476"/>
      <c r="D135" s="477"/>
      <c r="E135" s="478"/>
      <c r="F135" s="479"/>
      <c r="G135" s="480"/>
      <c r="H135" s="481"/>
      <c r="I135" s="481"/>
      <c r="J135" s="481"/>
      <c r="K135" s="481"/>
      <c r="L135" s="482"/>
    </row>
    <row r="136" spans="1:12">
      <c r="A136" s="340">
        <v>1</v>
      </c>
      <c r="B136" s="86" t="s">
        <v>163</v>
      </c>
      <c r="C136" s="61"/>
      <c r="D136" s="64"/>
      <c r="E136" s="151">
        <v>5</v>
      </c>
      <c r="F136" s="140" t="s">
        <v>56</v>
      </c>
      <c r="G136" s="232">
        <v>2500000</v>
      </c>
      <c r="H136" s="231">
        <v>0</v>
      </c>
      <c r="I136" s="231">
        <f t="shared" ref="I136:I142" si="39">H136+G136</f>
        <v>2500000</v>
      </c>
      <c r="J136" s="231">
        <f t="shared" ref="J136:J142" si="40">E136*G136</f>
        <v>12500000</v>
      </c>
      <c r="K136" s="231">
        <f t="shared" ref="K136:K142" si="41">E136*H136</f>
        <v>0</v>
      </c>
      <c r="L136" s="247">
        <f t="shared" ref="L136:L142" si="42">K136+J136</f>
        <v>12500000</v>
      </c>
    </row>
    <row r="137" spans="1:12">
      <c r="A137" s="340">
        <f t="shared" ref="A137:A142" si="43">A136+1</f>
        <v>2</v>
      </c>
      <c r="B137" s="86" t="s">
        <v>164</v>
      </c>
      <c r="C137" s="61"/>
      <c r="D137" s="64"/>
      <c r="E137" s="151">
        <v>6</v>
      </c>
      <c r="F137" s="140" t="s">
        <v>56</v>
      </c>
      <c r="G137" s="232">
        <v>550000</v>
      </c>
      <c r="H137" s="231">
        <v>2700000</v>
      </c>
      <c r="I137" s="231">
        <f t="shared" si="39"/>
        <v>3250000</v>
      </c>
      <c r="J137" s="231">
        <f t="shared" si="40"/>
        <v>3300000</v>
      </c>
      <c r="K137" s="231">
        <f t="shared" si="41"/>
        <v>16200000</v>
      </c>
      <c r="L137" s="247">
        <f t="shared" si="42"/>
        <v>19500000</v>
      </c>
    </row>
    <row r="138" spans="1:12">
      <c r="A138" s="340">
        <v>3</v>
      </c>
      <c r="B138" s="86" t="s">
        <v>165</v>
      </c>
      <c r="C138" s="61"/>
      <c r="D138" s="64"/>
      <c r="E138" s="151">
        <v>1</v>
      </c>
      <c r="F138" s="140" t="s">
        <v>56</v>
      </c>
      <c r="G138" s="232">
        <f>7*60*100000</f>
        <v>42000000</v>
      </c>
      <c r="H138" s="231">
        <v>10000000</v>
      </c>
      <c r="I138" s="231">
        <f t="shared" si="39"/>
        <v>52000000</v>
      </c>
      <c r="J138" s="231">
        <f t="shared" si="40"/>
        <v>42000000</v>
      </c>
      <c r="K138" s="231">
        <f t="shared" si="41"/>
        <v>10000000</v>
      </c>
      <c r="L138" s="247">
        <f t="shared" si="42"/>
        <v>52000000</v>
      </c>
    </row>
    <row r="139" spans="1:12">
      <c r="A139" s="340">
        <v>4</v>
      </c>
      <c r="B139" s="86" t="s">
        <v>166</v>
      </c>
      <c r="C139" s="61"/>
      <c r="D139" s="64"/>
      <c r="E139" s="157">
        <v>1</v>
      </c>
      <c r="F139" s="158" t="s">
        <v>56</v>
      </c>
      <c r="G139" s="233"/>
      <c r="H139" s="234">
        <v>15000000</v>
      </c>
      <c r="I139" s="234">
        <f t="shared" si="39"/>
        <v>15000000</v>
      </c>
      <c r="J139" s="231">
        <f t="shared" si="40"/>
        <v>0</v>
      </c>
      <c r="K139" s="231">
        <f t="shared" si="41"/>
        <v>15000000</v>
      </c>
      <c r="L139" s="247">
        <f t="shared" si="42"/>
        <v>15000000</v>
      </c>
    </row>
    <row r="140" spans="1:12">
      <c r="A140" s="340">
        <f t="shared" si="43"/>
        <v>5</v>
      </c>
      <c r="B140" s="86" t="s">
        <v>175</v>
      </c>
      <c r="C140" s="61"/>
      <c r="D140" s="64"/>
      <c r="E140" s="157">
        <v>31</v>
      </c>
      <c r="F140" s="158" t="s">
        <v>56</v>
      </c>
      <c r="G140" s="233">
        <v>50000</v>
      </c>
      <c r="H140" s="234">
        <v>10000</v>
      </c>
      <c r="I140" s="234">
        <f t="shared" si="39"/>
        <v>60000</v>
      </c>
      <c r="J140" s="231">
        <f t="shared" si="40"/>
        <v>1550000</v>
      </c>
      <c r="K140" s="231">
        <f t="shared" si="41"/>
        <v>310000</v>
      </c>
      <c r="L140" s="247">
        <f t="shared" si="42"/>
        <v>1860000</v>
      </c>
    </row>
    <row r="141" spans="1:12">
      <c r="A141" s="340">
        <f t="shared" si="43"/>
        <v>6</v>
      </c>
      <c r="B141" s="86" t="s">
        <v>176</v>
      </c>
      <c r="C141" s="61"/>
      <c r="D141" s="64"/>
      <c r="E141" s="157">
        <v>7</v>
      </c>
      <c r="F141" s="158" t="s">
        <v>56</v>
      </c>
      <c r="G141" s="233">
        <v>50000</v>
      </c>
      <c r="H141" s="234">
        <v>10000</v>
      </c>
      <c r="I141" s="234">
        <f t="shared" si="39"/>
        <v>60000</v>
      </c>
      <c r="J141" s="234">
        <f t="shared" si="40"/>
        <v>350000</v>
      </c>
      <c r="K141" s="234">
        <f t="shared" si="41"/>
        <v>70000</v>
      </c>
      <c r="L141" s="250">
        <f t="shared" si="42"/>
        <v>420000</v>
      </c>
    </row>
    <row r="142" spans="1:12" ht="16" thickBot="1">
      <c r="A142" s="341">
        <f t="shared" si="43"/>
        <v>7</v>
      </c>
      <c r="B142" s="93" t="s">
        <v>177</v>
      </c>
      <c r="C142" s="208"/>
      <c r="D142" s="314"/>
      <c r="E142" s="157">
        <v>7</v>
      </c>
      <c r="F142" s="158" t="s">
        <v>56</v>
      </c>
      <c r="G142" s="233">
        <v>50000</v>
      </c>
      <c r="H142" s="234">
        <v>10000</v>
      </c>
      <c r="I142" s="234">
        <f t="shared" si="39"/>
        <v>60000</v>
      </c>
      <c r="J142" s="234">
        <f t="shared" si="40"/>
        <v>350000</v>
      </c>
      <c r="K142" s="234">
        <f t="shared" si="41"/>
        <v>70000</v>
      </c>
      <c r="L142" s="250">
        <f t="shared" si="42"/>
        <v>420000</v>
      </c>
    </row>
    <row r="143" spans="1:12" ht="16.5" thickTop="1" thickBot="1">
      <c r="A143" s="342"/>
      <c r="B143" s="343"/>
      <c r="C143" s="330"/>
      <c r="D143" s="331"/>
      <c r="E143" s="344"/>
      <c r="F143" s="345"/>
      <c r="G143" s="334"/>
      <c r="H143" s="335"/>
      <c r="I143" s="336"/>
      <c r="J143" s="336"/>
      <c r="K143" s="336"/>
      <c r="L143" s="337">
        <f>SUM(L136:L142)</f>
        <v>101700000</v>
      </c>
    </row>
    <row r="144" spans="1:12" ht="16.5" thickTop="1" thickBot="1">
      <c r="A144" s="360"/>
      <c r="B144" s="361"/>
      <c r="C144" s="362"/>
      <c r="D144" s="363"/>
      <c r="E144" s="364"/>
      <c r="F144" s="365"/>
      <c r="G144" s="366"/>
      <c r="H144" s="367"/>
      <c r="I144" s="359" t="s">
        <v>243</v>
      </c>
      <c r="J144" s="359">
        <f>SUM(J9:J142)</f>
        <v>690643819.25253284</v>
      </c>
      <c r="K144" s="359">
        <f>SUM(K9:K142)</f>
        <v>441757707.97191334</v>
      </c>
      <c r="L144" s="359">
        <f>L19+L59+L83+L92+L105+L111+L119+L129+L134+L143</f>
        <v>1132414995.5744462</v>
      </c>
    </row>
    <row r="145" spans="1:13" s="68" customFormat="1" ht="16.5" thickTop="1" thickBot="1">
      <c r="A145" s="368"/>
      <c r="B145" s="362"/>
      <c r="C145" s="362"/>
      <c r="D145" s="369"/>
      <c r="E145" s="370"/>
      <c r="F145" s="362"/>
      <c r="G145" s="366"/>
      <c r="H145" s="367"/>
      <c r="I145" s="372" t="s">
        <v>245</v>
      </c>
      <c r="J145" s="373"/>
      <c r="K145" s="371">
        <v>0.05</v>
      </c>
      <c r="L145" s="359">
        <f>L144*K145</f>
        <v>56620749.778722316</v>
      </c>
      <c r="M145" s="454"/>
    </row>
    <row r="146" spans="1:13" s="68" customFormat="1" ht="16.5" thickTop="1" thickBot="1">
      <c r="A146" s="368"/>
      <c r="B146" s="362"/>
      <c r="C146" s="362"/>
      <c r="D146" s="369"/>
      <c r="E146" s="370"/>
      <c r="F146" s="362"/>
      <c r="G146" s="366"/>
      <c r="H146" s="367"/>
      <c r="I146" s="372" t="s">
        <v>247</v>
      </c>
      <c r="J146" s="373"/>
      <c r="K146" s="371">
        <v>0.02</v>
      </c>
      <c r="L146" s="359">
        <f>K146*L148</f>
        <v>26500000</v>
      </c>
      <c r="M146" s="454"/>
    </row>
    <row r="147" spans="1:13" s="68" customFormat="1" ht="16.5" thickTop="1" thickBot="1">
      <c r="A147" s="368"/>
      <c r="B147" s="362"/>
      <c r="C147" s="362"/>
      <c r="D147" s="369"/>
      <c r="E147" s="370"/>
      <c r="F147" s="362"/>
      <c r="G147" s="366"/>
      <c r="H147" s="367"/>
      <c r="I147" s="372" t="s">
        <v>246</v>
      </c>
      <c r="J147" s="373"/>
      <c r="K147" s="371"/>
      <c r="L147" s="359">
        <f>L144+L145+L146</f>
        <v>1215535745.3531685</v>
      </c>
      <c r="M147" s="454"/>
    </row>
    <row r="148" spans="1:13" s="68" customFormat="1" ht="16.5" thickTop="1" thickBot="1">
      <c r="A148" s="374"/>
      <c r="B148" s="375"/>
      <c r="C148" s="375"/>
      <c r="D148" s="376"/>
      <c r="E148" s="377"/>
      <c r="F148" s="375"/>
      <c r="G148" s="378"/>
      <c r="H148" s="379"/>
      <c r="I148" s="380" t="s">
        <v>199</v>
      </c>
      <c r="J148" s="381"/>
      <c r="K148" s="382"/>
      <c r="L148" s="382">
        <v>1325000000</v>
      </c>
      <c r="M148" s="454"/>
    </row>
    <row r="149" spans="1:13" s="70" customFormat="1" ht="16.5" thickTop="1" thickBot="1">
      <c r="A149" s="374"/>
      <c r="B149" s="375"/>
      <c r="C149" s="375"/>
      <c r="D149" s="376"/>
      <c r="E149" s="377"/>
      <c r="F149" s="375"/>
      <c r="G149" s="378"/>
      <c r="H149" s="379"/>
      <c r="I149" s="382" t="s">
        <v>244</v>
      </c>
      <c r="J149" s="382"/>
      <c r="K149" s="382"/>
      <c r="L149" s="383">
        <f>L147/L148</f>
        <v>0.91738546819107059</v>
      </c>
      <c r="M149" s="455"/>
    </row>
    <row r="150" spans="1:13" s="71" customFormat="1" ht="16" thickTop="1">
      <c r="A150" s="57"/>
      <c r="B150" s="57"/>
      <c r="C150" s="57"/>
      <c r="D150" s="65"/>
      <c r="E150" s="66"/>
      <c r="F150" s="57"/>
      <c r="G150" s="67"/>
      <c r="H150" s="67"/>
      <c r="I150" s="67"/>
      <c r="J150" s="67"/>
      <c r="K150" s="67"/>
      <c r="L150" s="67"/>
      <c r="M150" s="456"/>
    </row>
    <row r="152" spans="1:13">
      <c r="L152" s="72"/>
    </row>
    <row r="153" spans="1:13" s="58" customFormat="1">
      <c r="A153" s="57"/>
      <c r="B153" s="57"/>
      <c r="C153" s="57"/>
      <c r="D153" s="65"/>
      <c r="E153" s="66"/>
      <c r="F153" s="57"/>
      <c r="G153" s="67"/>
      <c r="H153" s="67"/>
      <c r="I153" s="67"/>
      <c r="J153" s="67"/>
      <c r="K153" s="67"/>
      <c r="L153" s="67"/>
      <c r="M153" s="218"/>
    </row>
    <row r="174" spans="1:13" s="67" customFormat="1">
      <c r="A174" s="57"/>
      <c r="B174" s="57"/>
      <c r="C174" s="57"/>
      <c r="D174" s="65"/>
      <c r="E174" s="66"/>
      <c r="F174" s="57"/>
      <c r="M174" s="457"/>
    </row>
    <row r="175" spans="1:13" s="67" customFormat="1">
      <c r="A175" s="57"/>
      <c r="B175" s="57"/>
      <c r="C175" s="57"/>
      <c r="D175" s="65"/>
      <c r="E175" s="66"/>
      <c r="F175" s="57"/>
      <c r="M175" s="457"/>
    </row>
    <row r="176" spans="1:13" s="70" customFormat="1" ht="25.5" customHeight="1">
      <c r="A176" s="57"/>
      <c r="B176" s="57"/>
      <c r="C176" s="57"/>
      <c r="D176" s="65"/>
      <c r="E176" s="66"/>
      <c r="F176" s="57"/>
      <c r="G176" s="67"/>
      <c r="H176" s="67"/>
      <c r="I176" s="67"/>
      <c r="J176" s="67"/>
      <c r="K176" s="67"/>
      <c r="L176" s="67"/>
      <c r="M176" s="455"/>
    </row>
  </sheetData>
  <mergeCells count="3">
    <mergeCell ref="A6:A7"/>
    <mergeCell ref="B6:D7"/>
    <mergeCell ref="E6:F7"/>
  </mergeCells>
  <printOptions horizontalCentered="1"/>
  <pageMargins left="0.78740157480314965" right="0" top="0.31496062992125984" bottom="0" header="0" footer="0"/>
  <pageSetup paperSize="9" scale="73" fitToHeight="6" orientation="landscape" r:id="rId1"/>
  <headerFooter alignWithMargins="0">
    <oddFooter>Page &amp;P of &amp;N</oddFooter>
  </headerFooter>
  <rowBreaks count="3" manualBreakCount="3">
    <brk id="49" max="12" man="1"/>
    <brk id="92" max="12" man="1"/>
    <brk id="134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2736-4F0A-4BC2-BF55-DDBB257D8B99}">
  <dimension ref="A1:W5"/>
  <sheetViews>
    <sheetView zoomScale="90" zoomScaleNormal="90" workbookViewId="0">
      <selection activeCell="K23" sqref="K23"/>
    </sheetView>
  </sheetViews>
  <sheetFormatPr defaultRowHeight="12.5"/>
  <cols>
    <col min="1" max="1" width="3.6328125" customWidth="1"/>
    <col min="3" max="3" width="14.54296875" customWidth="1"/>
    <col min="5" max="5" width="14.08984375" customWidth="1"/>
    <col min="6" max="6" width="17.90625" customWidth="1"/>
    <col min="7" max="8" width="13" customWidth="1"/>
    <col min="9" max="9" width="13.81640625" customWidth="1"/>
    <col min="10" max="11" width="15" customWidth="1"/>
    <col min="12" max="12" width="14.08984375" customWidth="1"/>
  </cols>
  <sheetData>
    <row r="1" spans="1:23" ht="66.650000000000006" customHeight="1">
      <c r="A1" s="98" t="s">
        <v>46</v>
      </c>
      <c r="B1" s="98" t="s">
        <v>80</v>
      </c>
      <c r="C1" s="98" t="s">
        <v>92</v>
      </c>
      <c r="D1" s="98" t="s">
        <v>91</v>
      </c>
      <c r="E1" s="98" t="s">
        <v>90</v>
      </c>
      <c r="F1" s="98" t="s">
        <v>83</v>
      </c>
      <c r="G1" s="98" t="s">
        <v>89</v>
      </c>
      <c r="H1" s="98" t="s">
        <v>88</v>
      </c>
      <c r="I1" s="98" t="s">
        <v>87</v>
      </c>
      <c r="J1" s="98" t="s">
        <v>86</v>
      </c>
      <c r="K1" s="98" t="s">
        <v>84</v>
      </c>
      <c r="L1" s="98" t="s">
        <v>85</v>
      </c>
      <c r="M1" s="98" t="s">
        <v>93</v>
      </c>
      <c r="N1" s="98" t="s">
        <v>94</v>
      </c>
      <c r="O1" s="98" t="s">
        <v>95</v>
      </c>
      <c r="P1" s="98" t="s">
        <v>96</v>
      </c>
      <c r="Q1" s="98" t="s">
        <v>97</v>
      </c>
      <c r="R1" s="98" t="s">
        <v>98</v>
      </c>
      <c r="S1" s="98" t="s">
        <v>99</v>
      </c>
      <c r="T1" s="98" t="s">
        <v>100</v>
      </c>
      <c r="U1" s="99" t="s">
        <v>106</v>
      </c>
      <c r="V1" s="99" t="s">
        <v>107</v>
      </c>
      <c r="W1" s="98" t="s">
        <v>101</v>
      </c>
    </row>
    <row r="2" spans="1:23">
      <c r="A2" s="97">
        <v>1</v>
      </c>
      <c r="B2" s="97" t="s">
        <v>81</v>
      </c>
      <c r="C2" s="97">
        <v>18</v>
      </c>
      <c r="D2" s="97">
        <v>0.3</v>
      </c>
      <c r="E2" s="97">
        <v>6</v>
      </c>
      <c r="F2" s="97">
        <v>6</v>
      </c>
      <c r="G2" s="97">
        <v>1.2999999999999999E-2</v>
      </c>
      <c r="H2" s="97">
        <f>E2*F2</f>
        <v>36</v>
      </c>
      <c r="I2" s="97">
        <v>0.15</v>
      </c>
      <c r="J2" s="97">
        <v>8.0000000000000002E-3</v>
      </c>
      <c r="K2" s="97">
        <f>(E2/I2)+1</f>
        <v>41</v>
      </c>
      <c r="L2">
        <f>K2*(0.942478)</f>
        <v>38.641598000000002</v>
      </c>
      <c r="M2">
        <v>12.5</v>
      </c>
      <c r="N2" s="97">
        <v>4.74</v>
      </c>
      <c r="O2">
        <f>(H2/12)*M2</f>
        <v>37.5</v>
      </c>
      <c r="P2">
        <f>(L2/12)*N2</f>
        <v>15.263431210000002</v>
      </c>
      <c r="Q2">
        <f>ROUNDUP(H2/12,0)</f>
        <v>3</v>
      </c>
      <c r="R2">
        <f>ROUNDUP(L2/12,0)</f>
        <v>4</v>
      </c>
      <c r="S2">
        <f>C2*O2</f>
        <v>675</v>
      </c>
      <c r="T2">
        <f>C2*P2</f>
        <v>274.74176178000005</v>
      </c>
      <c r="U2">
        <f>40*G2*F2*C2</f>
        <v>56.160000000000004</v>
      </c>
      <c r="V2">
        <f>U2/12*M2</f>
        <v>58.500000000000007</v>
      </c>
      <c r="W2">
        <f>S2+T2+U2</f>
        <v>1005.90176178</v>
      </c>
    </row>
    <row r="3" spans="1:23">
      <c r="A3" s="97">
        <v>2</v>
      </c>
      <c r="B3" s="97" t="s">
        <v>82</v>
      </c>
      <c r="C3" s="97">
        <v>42</v>
      </c>
      <c r="D3" s="97">
        <v>0.2</v>
      </c>
      <c r="E3" s="97">
        <v>4</v>
      </c>
      <c r="F3" s="97">
        <v>6</v>
      </c>
      <c r="G3" s="97">
        <v>1.2999999999999999E-2</v>
      </c>
      <c r="H3" s="97">
        <f>E3*F3</f>
        <v>24</v>
      </c>
      <c r="I3" s="97">
        <v>0.15</v>
      </c>
      <c r="J3" s="97">
        <v>8.0000000000000002E-3</v>
      </c>
      <c r="K3" s="97">
        <f>(E3/I3)+1</f>
        <v>27.666666666666668</v>
      </c>
      <c r="L3">
        <f>K3*(0.942478)</f>
        <v>26.075224666666667</v>
      </c>
      <c r="M3">
        <v>12.5</v>
      </c>
      <c r="N3" s="97">
        <v>4.74</v>
      </c>
      <c r="O3">
        <f>(H3/12)*M3</f>
        <v>25</v>
      </c>
      <c r="P3">
        <f>(L3/12)*N3</f>
        <v>10.299713743333333</v>
      </c>
      <c r="Q3">
        <f>ROUNDUP(H3/12,0)</f>
        <v>2</v>
      </c>
      <c r="R3">
        <f>ROUNDUP(L3/12,0)</f>
        <v>3</v>
      </c>
      <c r="S3">
        <f>C3*O3</f>
        <v>1050</v>
      </c>
      <c r="T3">
        <f>C3*P3</f>
        <v>432.58797721999997</v>
      </c>
      <c r="U3">
        <f>40*G3*F3*C3</f>
        <v>131.04</v>
      </c>
      <c r="V3">
        <f>U3/12*M3</f>
        <v>136.5</v>
      </c>
      <c r="W3">
        <f>S3+T3+U3</f>
        <v>1613.62797722</v>
      </c>
    </row>
    <row r="5" spans="1:23">
      <c r="O5" s="100"/>
    </row>
  </sheetData>
  <phoneticPr fontId="4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view="pageBreakPreview" topLeftCell="A4" zoomScaleSheetLayoutView="100" workbookViewId="0">
      <selection activeCell="L151" sqref="L151"/>
    </sheetView>
  </sheetViews>
  <sheetFormatPr defaultRowHeight="15.5"/>
  <cols>
    <col min="1" max="1" width="8" style="9" customWidth="1"/>
    <col min="2" max="2" width="14.54296875" style="9" customWidth="1"/>
    <col min="3" max="3" width="1.90625" style="9" customWidth="1"/>
    <col min="4" max="4" width="64.36328125" style="1" customWidth="1"/>
    <col min="5" max="5" width="32" style="2" customWidth="1"/>
    <col min="6" max="6" width="11.453125" style="1" bestFit="1" customWidth="1"/>
    <col min="7" max="7" width="9.08984375" style="1"/>
    <col min="8" max="8" width="24.08984375" style="1" customWidth="1"/>
    <col min="9" max="241" width="9.08984375" style="1"/>
    <col min="242" max="242" width="9.6328125" style="1" customWidth="1"/>
    <col min="243" max="243" width="47.36328125" style="1" customWidth="1"/>
    <col min="244" max="244" width="10.08984375" style="1" customWidth="1"/>
    <col min="245" max="245" width="6.6328125" style="1" customWidth="1"/>
    <col min="246" max="246" width="22.453125" style="1" customWidth="1"/>
    <col min="247" max="247" width="25.36328125" style="1" customWidth="1"/>
    <col min="248" max="248" width="31.90625" style="1" customWidth="1"/>
    <col min="249" max="249" width="33.54296875" style="1" customWidth="1"/>
    <col min="250" max="250" width="24.90625" style="1" customWidth="1"/>
    <col min="251" max="251" width="23.08984375" style="1" bestFit="1" customWidth="1"/>
    <col min="252" max="252" width="26.54296875" style="1" customWidth="1"/>
    <col min="253" max="253" width="17.08984375" style="1" customWidth="1"/>
    <col min="254" max="497" width="9.08984375" style="1"/>
    <col min="498" max="498" width="9.6328125" style="1" customWidth="1"/>
    <col min="499" max="499" width="47.36328125" style="1" customWidth="1"/>
    <col min="500" max="500" width="10.08984375" style="1" customWidth="1"/>
    <col min="501" max="501" width="6.6328125" style="1" customWidth="1"/>
    <col min="502" max="502" width="22.453125" style="1" customWidth="1"/>
    <col min="503" max="503" width="25.36328125" style="1" customWidth="1"/>
    <col min="504" max="504" width="31.90625" style="1" customWidth="1"/>
    <col min="505" max="505" width="33.54296875" style="1" customWidth="1"/>
    <col min="506" max="506" width="24.90625" style="1" customWidth="1"/>
    <col min="507" max="507" width="23.08984375" style="1" bestFit="1" customWidth="1"/>
    <col min="508" max="508" width="26.54296875" style="1" customWidth="1"/>
    <col min="509" max="509" width="17.08984375" style="1" customWidth="1"/>
    <col min="510" max="753" width="9.08984375" style="1"/>
    <col min="754" max="754" width="9.6328125" style="1" customWidth="1"/>
    <col min="755" max="755" width="47.36328125" style="1" customWidth="1"/>
    <col min="756" max="756" width="10.08984375" style="1" customWidth="1"/>
    <col min="757" max="757" width="6.6328125" style="1" customWidth="1"/>
    <col min="758" max="758" width="22.453125" style="1" customWidth="1"/>
    <col min="759" max="759" width="25.36328125" style="1" customWidth="1"/>
    <col min="760" max="760" width="31.90625" style="1" customWidth="1"/>
    <col min="761" max="761" width="33.54296875" style="1" customWidth="1"/>
    <col min="762" max="762" width="24.90625" style="1" customWidth="1"/>
    <col min="763" max="763" width="23.08984375" style="1" bestFit="1" customWidth="1"/>
    <col min="764" max="764" width="26.54296875" style="1" customWidth="1"/>
    <col min="765" max="765" width="17.08984375" style="1" customWidth="1"/>
    <col min="766" max="1009" width="9.08984375" style="1"/>
    <col min="1010" max="1010" width="9.6328125" style="1" customWidth="1"/>
    <col min="1011" max="1011" width="47.36328125" style="1" customWidth="1"/>
    <col min="1012" max="1012" width="10.08984375" style="1" customWidth="1"/>
    <col min="1013" max="1013" width="6.6328125" style="1" customWidth="1"/>
    <col min="1014" max="1014" width="22.453125" style="1" customWidth="1"/>
    <col min="1015" max="1015" width="25.36328125" style="1" customWidth="1"/>
    <col min="1016" max="1016" width="31.90625" style="1" customWidth="1"/>
    <col min="1017" max="1017" width="33.54296875" style="1" customWidth="1"/>
    <col min="1018" max="1018" width="24.90625" style="1" customWidth="1"/>
    <col min="1019" max="1019" width="23.08984375" style="1" bestFit="1" customWidth="1"/>
    <col min="1020" max="1020" width="26.54296875" style="1" customWidth="1"/>
    <col min="1021" max="1021" width="17.08984375" style="1" customWidth="1"/>
    <col min="1022" max="1265" width="9.08984375" style="1"/>
    <col min="1266" max="1266" width="9.6328125" style="1" customWidth="1"/>
    <col min="1267" max="1267" width="47.36328125" style="1" customWidth="1"/>
    <col min="1268" max="1268" width="10.08984375" style="1" customWidth="1"/>
    <col min="1269" max="1269" width="6.6328125" style="1" customWidth="1"/>
    <col min="1270" max="1270" width="22.453125" style="1" customWidth="1"/>
    <col min="1271" max="1271" width="25.36328125" style="1" customWidth="1"/>
    <col min="1272" max="1272" width="31.90625" style="1" customWidth="1"/>
    <col min="1273" max="1273" width="33.54296875" style="1" customWidth="1"/>
    <col min="1274" max="1274" width="24.90625" style="1" customWidth="1"/>
    <col min="1275" max="1275" width="23.08984375" style="1" bestFit="1" customWidth="1"/>
    <col min="1276" max="1276" width="26.54296875" style="1" customWidth="1"/>
    <col min="1277" max="1277" width="17.08984375" style="1" customWidth="1"/>
    <col min="1278" max="1521" width="9.08984375" style="1"/>
    <col min="1522" max="1522" width="9.6328125" style="1" customWidth="1"/>
    <col min="1523" max="1523" width="47.36328125" style="1" customWidth="1"/>
    <col min="1524" max="1524" width="10.08984375" style="1" customWidth="1"/>
    <col min="1525" max="1525" width="6.6328125" style="1" customWidth="1"/>
    <col min="1526" max="1526" width="22.453125" style="1" customWidth="1"/>
    <col min="1527" max="1527" width="25.36328125" style="1" customWidth="1"/>
    <col min="1528" max="1528" width="31.90625" style="1" customWidth="1"/>
    <col min="1529" max="1529" width="33.54296875" style="1" customWidth="1"/>
    <col min="1530" max="1530" width="24.90625" style="1" customWidth="1"/>
    <col min="1531" max="1531" width="23.08984375" style="1" bestFit="1" customWidth="1"/>
    <col min="1532" max="1532" width="26.54296875" style="1" customWidth="1"/>
    <col min="1533" max="1533" width="17.08984375" style="1" customWidth="1"/>
    <col min="1534" max="1777" width="9.08984375" style="1"/>
    <col min="1778" max="1778" width="9.6328125" style="1" customWidth="1"/>
    <col min="1779" max="1779" width="47.36328125" style="1" customWidth="1"/>
    <col min="1780" max="1780" width="10.08984375" style="1" customWidth="1"/>
    <col min="1781" max="1781" width="6.6328125" style="1" customWidth="1"/>
    <col min="1782" max="1782" width="22.453125" style="1" customWidth="1"/>
    <col min="1783" max="1783" width="25.36328125" style="1" customWidth="1"/>
    <col min="1784" max="1784" width="31.90625" style="1" customWidth="1"/>
    <col min="1785" max="1785" width="33.54296875" style="1" customWidth="1"/>
    <col min="1786" max="1786" width="24.90625" style="1" customWidth="1"/>
    <col min="1787" max="1787" width="23.08984375" style="1" bestFit="1" customWidth="1"/>
    <col min="1788" max="1788" width="26.54296875" style="1" customWidth="1"/>
    <col min="1789" max="1789" width="17.08984375" style="1" customWidth="1"/>
    <col min="1790" max="2033" width="9.08984375" style="1"/>
    <col min="2034" max="2034" width="9.6328125" style="1" customWidth="1"/>
    <col min="2035" max="2035" width="47.36328125" style="1" customWidth="1"/>
    <col min="2036" max="2036" width="10.08984375" style="1" customWidth="1"/>
    <col min="2037" max="2037" width="6.6328125" style="1" customWidth="1"/>
    <col min="2038" max="2038" width="22.453125" style="1" customWidth="1"/>
    <col min="2039" max="2039" width="25.36328125" style="1" customWidth="1"/>
    <col min="2040" max="2040" width="31.90625" style="1" customWidth="1"/>
    <col min="2041" max="2041" width="33.54296875" style="1" customWidth="1"/>
    <col min="2042" max="2042" width="24.90625" style="1" customWidth="1"/>
    <col min="2043" max="2043" width="23.08984375" style="1" bestFit="1" customWidth="1"/>
    <col min="2044" max="2044" width="26.54296875" style="1" customWidth="1"/>
    <col min="2045" max="2045" width="17.08984375" style="1" customWidth="1"/>
    <col min="2046" max="2289" width="9.08984375" style="1"/>
    <col min="2290" max="2290" width="9.6328125" style="1" customWidth="1"/>
    <col min="2291" max="2291" width="47.36328125" style="1" customWidth="1"/>
    <col min="2292" max="2292" width="10.08984375" style="1" customWidth="1"/>
    <col min="2293" max="2293" width="6.6328125" style="1" customWidth="1"/>
    <col min="2294" max="2294" width="22.453125" style="1" customWidth="1"/>
    <col min="2295" max="2295" width="25.36328125" style="1" customWidth="1"/>
    <col min="2296" max="2296" width="31.90625" style="1" customWidth="1"/>
    <col min="2297" max="2297" width="33.54296875" style="1" customWidth="1"/>
    <col min="2298" max="2298" width="24.90625" style="1" customWidth="1"/>
    <col min="2299" max="2299" width="23.08984375" style="1" bestFit="1" customWidth="1"/>
    <col min="2300" max="2300" width="26.54296875" style="1" customWidth="1"/>
    <col min="2301" max="2301" width="17.08984375" style="1" customWidth="1"/>
    <col min="2302" max="2545" width="9.08984375" style="1"/>
    <col min="2546" max="2546" width="9.6328125" style="1" customWidth="1"/>
    <col min="2547" max="2547" width="47.36328125" style="1" customWidth="1"/>
    <col min="2548" max="2548" width="10.08984375" style="1" customWidth="1"/>
    <col min="2549" max="2549" width="6.6328125" style="1" customWidth="1"/>
    <col min="2550" max="2550" width="22.453125" style="1" customWidth="1"/>
    <col min="2551" max="2551" width="25.36328125" style="1" customWidth="1"/>
    <col min="2552" max="2552" width="31.90625" style="1" customWidth="1"/>
    <col min="2553" max="2553" width="33.54296875" style="1" customWidth="1"/>
    <col min="2554" max="2554" width="24.90625" style="1" customWidth="1"/>
    <col min="2555" max="2555" width="23.08984375" style="1" bestFit="1" customWidth="1"/>
    <col min="2556" max="2556" width="26.54296875" style="1" customWidth="1"/>
    <col min="2557" max="2557" width="17.08984375" style="1" customWidth="1"/>
    <col min="2558" max="2801" width="9.08984375" style="1"/>
    <col min="2802" max="2802" width="9.6328125" style="1" customWidth="1"/>
    <col min="2803" max="2803" width="47.36328125" style="1" customWidth="1"/>
    <col min="2804" max="2804" width="10.08984375" style="1" customWidth="1"/>
    <col min="2805" max="2805" width="6.6328125" style="1" customWidth="1"/>
    <col min="2806" max="2806" width="22.453125" style="1" customWidth="1"/>
    <col min="2807" max="2807" width="25.36328125" style="1" customWidth="1"/>
    <col min="2808" max="2808" width="31.90625" style="1" customWidth="1"/>
    <col min="2809" max="2809" width="33.54296875" style="1" customWidth="1"/>
    <col min="2810" max="2810" width="24.90625" style="1" customWidth="1"/>
    <col min="2811" max="2811" width="23.08984375" style="1" bestFit="1" customWidth="1"/>
    <col min="2812" max="2812" width="26.54296875" style="1" customWidth="1"/>
    <col min="2813" max="2813" width="17.08984375" style="1" customWidth="1"/>
    <col min="2814" max="3057" width="9.08984375" style="1"/>
    <col min="3058" max="3058" width="9.6328125" style="1" customWidth="1"/>
    <col min="3059" max="3059" width="47.36328125" style="1" customWidth="1"/>
    <col min="3060" max="3060" width="10.08984375" style="1" customWidth="1"/>
    <col min="3061" max="3061" width="6.6328125" style="1" customWidth="1"/>
    <col min="3062" max="3062" width="22.453125" style="1" customWidth="1"/>
    <col min="3063" max="3063" width="25.36328125" style="1" customWidth="1"/>
    <col min="3064" max="3064" width="31.90625" style="1" customWidth="1"/>
    <col min="3065" max="3065" width="33.54296875" style="1" customWidth="1"/>
    <col min="3066" max="3066" width="24.90625" style="1" customWidth="1"/>
    <col min="3067" max="3067" width="23.08984375" style="1" bestFit="1" customWidth="1"/>
    <col min="3068" max="3068" width="26.54296875" style="1" customWidth="1"/>
    <col min="3069" max="3069" width="17.08984375" style="1" customWidth="1"/>
    <col min="3070" max="3313" width="9.08984375" style="1"/>
    <col min="3314" max="3314" width="9.6328125" style="1" customWidth="1"/>
    <col min="3315" max="3315" width="47.36328125" style="1" customWidth="1"/>
    <col min="3316" max="3316" width="10.08984375" style="1" customWidth="1"/>
    <col min="3317" max="3317" width="6.6328125" style="1" customWidth="1"/>
    <col min="3318" max="3318" width="22.453125" style="1" customWidth="1"/>
    <col min="3319" max="3319" width="25.36328125" style="1" customWidth="1"/>
    <col min="3320" max="3320" width="31.90625" style="1" customWidth="1"/>
    <col min="3321" max="3321" width="33.54296875" style="1" customWidth="1"/>
    <col min="3322" max="3322" width="24.90625" style="1" customWidth="1"/>
    <col min="3323" max="3323" width="23.08984375" style="1" bestFit="1" customWidth="1"/>
    <col min="3324" max="3324" width="26.54296875" style="1" customWidth="1"/>
    <col min="3325" max="3325" width="17.08984375" style="1" customWidth="1"/>
    <col min="3326" max="3569" width="9.08984375" style="1"/>
    <col min="3570" max="3570" width="9.6328125" style="1" customWidth="1"/>
    <col min="3571" max="3571" width="47.36328125" style="1" customWidth="1"/>
    <col min="3572" max="3572" width="10.08984375" style="1" customWidth="1"/>
    <col min="3573" max="3573" width="6.6328125" style="1" customWidth="1"/>
    <col min="3574" max="3574" width="22.453125" style="1" customWidth="1"/>
    <col min="3575" max="3575" width="25.36328125" style="1" customWidth="1"/>
    <col min="3576" max="3576" width="31.90625" style="1" customWidth="1"/>
    <col min="3577" max="3577" width="33.54296875" style="1" customWidth="1"/>
    <col min="3578" max="3578" width="24.90625" style="1" customWidth="1"/>
    <col min="3579" max="3579" width="23.08984375" style="1" bestFit="1" customWidth="1"/>
    <col min="3580" max="3580" width="26.54296875" style="1" customWidth="1"/>
    <col min="3581" max="3581" width="17.08984375" style="1" customWidth="1"/>
    <col min="3582" max="3825" width="9.08984375" style="1"/>
    <col min="3826" max="3826" width="9.6328125" style="1" customWidth="1"/>
    <col min="3827" max="3827" width="47.36328125" style="1" customWidth="1"/>
    <col min="3828" max="3828" width="10.08984375" style="1" customWidth="1"/>
    <col min="3829" max="3829" width="6.6328125" style="1" customWidth="1"/>
    <col min="3830" max="3830" width="22.453125" style="1" customWidth="1"/>
    <col min="3831" max="3831" width="25.36328125" style="1" customWidth="1"/>
    <col min="3832" max="3832" width="31.90625" style="1" customWidth="1"/>
    <col min="3833" max="3833" width="33.54296875" style="1" customWidth="1"/>
    <col min="3834" max="3834" width="24.90625" style="1" customWidth="1"/>
    <col min="3835" max="3835" width="23.08984375" style="1" bestFit="1" customWidth="1"/>
    <col min="3836" max="3836" width="26.54296875" style="1" customWidth="1"/>
    <col min="3837" max="3837" width="17.08984375" style="1" customWidth="1"/>
    <col min="3838" max="4081" width="9.08984375" style="1"/>
    <col min="4082" max="4082" width="9.6328125" style="1" customWidth="1"/>
    <col min="4083" max="4083" width="47.36328125" style="1" customWidth="1"/>
    <col min="4084" max="4084" width="10.08984375" style="1" customWidth="1"/>
    <col min="4085" max="4085" width="6.6328125" style="1" customWidth="1"/>
    <col min="4086" max="4086" width="22.453125" style="1" customWidth="1"/>
    <col min="4087" max="4087" width="25.36328125" style="1" customWidth="1"/>
    <col min="4088" max="4088" width="31.90625" style="1" customWidth="1"/>
    <col min="4089" max="4089" width="33.54296875" style="1" customWidth="1"/>
    <col min="4090" max="4090" width="24.90625" style="1" customWidth="1"/>
    <col min="4091" max="4091" width="23.08984375" style="1" bestFit="1" customWidth="1"/>
    <col min="4092" max="4092" width="26.54296875" style="1" customWidth="1"/>
    <col min="4093" max="4093" width="17.08984375" style="1" customWidth="1"/>
    <col min="4094" max="4337" width="9.08984375" style="1"/>
    <col min="4338" max="4338" width="9.6328125" style="1" customWidth="1"/>
    <col min="4339" max="4339" width="47.36328125" style="1" customWidth="1"/>
    <col min="4340" max="4340" width="10.08984375" style="1" customWidth="1"/>
    <col min="4341" max="4341" width="6.6328125" style="1" customWidth="1"/>
    <col min="4342" max="4342" width="22.453125" style="1" customWidth="1"/>
    <col min="4343" max="4343" width="25.36328125" style="1" customWidth="1"/>
    <col min="4344" max="4344" width="31.90625" style="1" customWidth="1"/>
    <col min="4345" max="4345" width="33.54296875" style="1" customWidth="1"/>
    <col min="4346" max="4346" width="24.90625" style="1" customWidth="1"/>
    <col min="4347" max="4347" width="23.08984375" style="1" bestFit="1" customWidth="1"/>
    <col min="4348" max="4348" width="26.54296875" style="1" customWidth="1"/>
    <col min="4349" max="4349" width="17.08984375" style="1" customWidth="1"/>
    <col min="4350" max="4593" width="9.08984375" style="1"/>
    <col min="4594" max="4594" width="9.6328125" style="1" customWidth="1"/>
    <col min="4595" max="4595" width="47.36328125" style="1" customWidth="1"/>
    <col min="4596" max="4596" width="10.08984375" style="1" customWidth="1"/>
    <col min="4597" max="4597" width="6.6328125" style="1" customWidth="1"/>
    <col min="4598" max="4598" width="22.453125" style="1" customWidth="1"/>
    <col min="4599" max="4599" width="25.36328125" style="1" customWidth="1"/>
    <col min="4600" max="4600" width="31.90625" style="1" customWidth="1"/>
    <col min="4601" max="4601" width="33.54296875" style="1" customWidth="1"/>
    <col min="4602" max="4602" width="24.90625" style="1" customWidth="1"/>
    <col min="4603" max="4603" width="23.08984375" style="1" bestFit="1" customWidth="1"/>
    <col min="4604" max="4604" width="26.54296875" style="1" customWidth="1"/>
    <col min="4605" max="4605" width="17.08984375" style="1" customWidth="1"/>
    <col min="4606" max="4849" width="9.08984375" style="1"/>
    <col min="4850" max="4850" width="9.6328125" style="1" customWidth="1"/>
    <col min="4851" max="4851" width="47.36328125" style="1" customWidth="1"/>
    <col min="4852" max="4852" width="10.08984375" style="1" customWidth="1"/>
    <col min="4853" max="4853" width="6.6328125" style="1" customWidth="1"/>
    <col min="4854" max="4854" width="22.453125" style="1" customWidth="1"/>
    <col min="4855" max="4855" width="25.36328125" style="1" customWidth="1"/>
    <col min="4856" max="4856" width="31.90625" style="1" customWidth="1"/>
    <col min="4857" max="4857" width="33.54296875" style="1" customWidth="1"/>
    <col min="4858" max="4858" width="24.90625" style="1" customWidth="1"/>
    <col min="4859" max="4859" width="23.08984375" style="1" bestFit="1" customWidth="1"/>
    <col min="4860" max="4860" width="26.54296875" style="1" customWidth="1"/>
    <col min="4861" max="4861" width="17.08984375" style="1" customWidth="1"/>
    <col min="4862" max="5105" width="9.08984375" style="1"/>
    <col min="5106" max="5106" width="9.6328125" style="1" customWidth="1"/>
    <col min="5107" max="5107" width="47.36328125" style="1" customWidth="1"/>
    <col min="5108" max="5108" width="10.08984375" style="1" customWidth="1"/>
    <col min="5109" max="5109" width="6.6328125" style="1" customWidth="1"/>
    <col min="5110" max="5110" width="22.453125" style="1" customWidth="1"/>
    <col min="5111" max="5111" width="25.36328125" style="1" customWidth="1"/>
    <col min="5112" max="5112" width="31.90625" style="1" customWidth="1"/>
    <col min="5113" max="5113" width="33.54296875" style="1" customWidth="1"/>
    <col min="5114" max="5114" width="24.90625" style="1" customWidth="1"/>
    <col min="5115" max="5115" width="23.08984375" style="1" bestFit="1" customWidth="1"/>
    <col min="5116" max="5116" width="26.54296875" style="1" customWidth="1"/>
    <col min="5117" max="5117" width="17.08984375" style="1" customWidth="1"/>
    <col min="5118" max="5361" width="9.08984375" style="1"/>
    <col min="5362" max="5362" width="9.6328125" style="1" customWidth="1"/>
    <col min="5363" max="5363" width="47.36328125" style="1" customWidth="1"/>
    <col min="5364" max="5364" width="10.08984375" style="1" customWidth="1"/>
    <col min="5365" max="5365" width="6.6328125" style="1" customWidth="1"/>
    <col min="5366" max="5366" width="22.453125" style="1" customWidth="1"/>
    <col min="5367" max="5367" width="25.36328125" style="1" customWidth="1"/>
    <col min="5368" max="5368" width="31.90625" style="1" customWidth="1"/>
    <col min="5369" max="5369" width="33.54296875" style="1" customWidth="1"/>
    <col min="5370" max="5370" width="24.90625" style="1" customWidth="1"/>
    <col min="5371" max="5371" width="23.08984375" style="1" bestFit="1" customWidth="1"/>
    <col min="5372" max="5372" width="26.54296875" style="1" customWidth="1"/>
    <col min="5373" max="5373" width="17.08984375" style="1" customWidth="1"/>
    <col min="5374" max="5617" width="9.08984375" style="1"/>
    <col min="5618" max="5618" width="9.6328125" style="1" customWidth="1"/>
    <col min="5619" max="5619" width="47.36328125" style="1" customWidth="1"/>
    <col min="5620" max="5620" width="10.08984375" style="1" customWidth="1"/>
    <col min="5621" max="5621" width="6.6328125" style="1" customWidth="1"/>
    <col min="5622" max="5622" width="22.453125" style="1" customWidth="1"/>
    <col min="5623" max="5623" width="25.36328125" style="1" customWidth="1"/>
    <col min="5624" max="5624" width="31.90625" style="1" customWidth="1"/>
    <col min="5625" max="5625" width="33.54296875" style="1" customWidth="1"/>
    <col min="5626" max="5626" width="24.90625" style="1" customWidth="1"/>
    <col min="5627" max="5627" width="23.08984375" style="1" bestFit="1" customWidth="1"/>
    <col min="5628" max="5628" width="26.54296875" style="1" customWidth="1"/>
    <col min="5629" max="5629" width="17.08984375" style="1" customWidth="1"/>
    <col min="5630" max="5873" width="9.08984375" style="1"/>
    <col min="5874" max="5874" width="9.6328125" style="1" customWidth="1"/>
    <col min="5875" max="5875" width="47.36328125" style="1" customWidth="1"/>
    <col min="5876" max="5876" width="10.08984375" style="1" customWidth="1"/>
    <col min="5877" max="5877" width="6.6328125" style="1" customWidth="1"/>
    <col min="5878" max="5878" width="22.453125" style="1" customWidth="1"/>
    <col min="5879" max="5879" width="25.36328125" style="1" customWidth="1"/>
    <col min="5880" max="5880" width="31.90625" style="1" customWidth="1"/>
    <col min="5881" max="5881" width="33.54296875" style="1" customWidth="1"/>
    <col min="5882" max="5882" width="24.90625" style="1" customWidth="1"/>
    <col min="5883" max="5883" width="23.08984375" style="1" bestFit="1" customWidth="1"/>
    <col min="5884" max="5884" width="26.54296875" style="1" customWidth="1"/>
    <col min="5885" max="5885" width="17.08984375" style="1" customWidth="1"/>
    <col min="5886" max="6129" width="9.08984375" style="1"/>
    <col min="6130" max="6130" width="9.6328125" style="1" customWidth="1"/>
    <col min="6131" max="6131" width="47.36328125" style="1" customWidth="1"/>
    <col min="6132" max="6132" width="10.08984375" style="1" customWidth="1"/>
    <col min="6133" max="6133" width="6.6328125" style="1" customWidth="1"/>
    <col min="6134" max="6134" width="22.453125" style="1" customWidth="1"/>
    <col min="6135" max="6135" width="25.36328125" style="1" customWidth="1"/>
    <col min="6136" max="6136" width="31.90625" style="1" customWidth="1"/>
    <col min="6137" max="6137" width="33.54296875" style="1" customWidth="1"/>
    <col min="6138" max="6138" width="24.90625" style="1" customWidth="1"/>
    <col min="6139" max="6139" width="23.08984375" style="1" bestFit="1" customWidth="1"/>
    <col min="6140" max="6140" width="26.54296875" style="1" customWidth="1"/>
    <col min="6141" max="6141" width="17.08984375" style="1" customWidth="1"/>
    <col min="6142" max="6385" width="9.08984375" style="1"/>
    <col min="6386" max="6386" width="9.6328125" style="1" customWidth="1"/>
    <col min="6387" max="6387" width="47.36328125" style="1" customWidth="1"/>
    <col min="6388" max="6388" width="10.08984375" style="1" customWidth="1"/>
    <col min="6389" max="6389" width="6.6328125" style="1" customWidth="1"/>
    <col min="6390" max="6390" width="22.453125" style="1" customWidth="1"/>
    <col min="6391" max="6391" width="25.36328125" style="1" customWidth="1"/>
    <col min="6392" max="6392" width="31.90625" style="1" customWidth="1"/>
    <col min="6393" max="6393" width="33.54296875" style="1" customWidth="1"/>
    <col min="6394" max="6394" width="24.90625" style="1" customWidth="1"/>
    <col min="6395" max="6395" width="23.08984375" style="1" bestFit="1" customWidth="1"/>
    <col min="6396" max="6396" width="26.54296875" style="1" customWidth="1"/>
    <col min="6397" max="6397" width="17.08984375" style="1" customWidth="1"/>
    <col min="6398" max="6641" width="9.08984375" style="1"/>
    <col min="6642" max="6642" width="9.6328125" style="1" customWidth="1"/>
    <col min="6643" max="6643" width="47.36328125" style="1" customWidth="1"/>
    <col min="6644" max="6644" width="10.08984375" style="1" customWidth="1"/>
    <col min="6645" max="6645" width="6.6328125" style="1" customWidth="1"/>
    <col min="6646" max="6646" width="22.453125" style="1" customWidth="1"/>
    <col min="6647" max="6647" width="25.36328125" style="1" customWidth="1"/>
    <col min="6648" max="6648" width="31.90625" style="1" customWidth="1"/>
    <col min="6649" max="6649" width="33.54296875" style="1" customWidth="1"/>
    <col min="6650" max="6650" width="24.90625" style="1" customWidth="1"/>
    <col min="6651" max="6651" width="23.08984375" style="1" bestFit="1" customWidth="1"/>
    <col min="6652" max="6652" width="26.54296875" style="1" customWidth="1"/>
    <col min="6653" max="6653" width="17.08984375" style="1" customWidth="1"/>
    <col min="6654" max="6897" width="9.08984375" style="1"/>
    <col min="6898" max="6898" width="9.6328125" style="1" customWidth="1"/>
    <col min="6899" max="6899" width="47.36328125" style="1" customWidth="1"/>
    <col min="6900" max="6900" width="10.08984375" style="1" customWidth="1"/>
    <col min="6901" max="6901" width="6.6328125" style="1" customWidth="1"/>
    <col min="6902" max="6902" width="22.453125" style="1" customWidth="1"/>
    <col min="6903" max="6903" width="25.36328125" style="1" customWidth="1"/>
    <col min="6904" max="6904" width="31.90625" style="1" customWidth="1"/>
    <col min="6905" max="6905" width="33.54296875" style="1" customWidth="1"/>
    <col min="6906" max="6906" width="24.90625" style="1" customWidth="1"/>
    <col min="6907" max="6907" width="23.08984375" style="1" bestFit="1" customWidth="1"/>
    <col min="6908" max="6908" width="26.54296875" style="1" customWidth="1"/>
    <col min="6909" max="6909" width="17.08984375" style="1" customWidth="1"/>
    <col min="6910" max="7153" width="9.08984375" style="1"/>
    <col min="7154" max="7154" width="9.6328125" style="1" customWidth="1"/>
    <col min="7155" max="7155" width="47.36328125" style="1" customWidth="1"/>
    <col min="7156" max="7156" width="10.08984375" style="1" customWidth="1"/>
    <col min="7157" max="7157" width="6.6328125" style="1" customWidth="1"/>
    <col min="7158" max="7158" width="22.453125" style="1" customWidth="1"/>
    <col min="7159" max="7159" width="25.36328125" style="1" customWidth="1"/>
    <col min="7160" max="7160" width="31.90625" style="1" customWidth="1"/>
    <col min="7161" max="7161" width="33.54296875" style="1" customWidth="1"/>
    <col min="7162" max="7162" width="24.90625" style="1" customWidth="1"/>
    <col min="7163" max="7163" width="23.08984375" style="1" bestFit="1" customWidth="1"/>
    <col min="7164" max="7164" width="26.54296875" style="1" customWidth="1"/>
    <col min="7165" max="7165" width="17.08984375" style="1" customWidth="1"/>
    <col min="7166" max="7409" width="9.08984375" style="1"/>
    <col min="7410" max="7410" width="9.6328125" style="1" customWidth="1"/>
    <col min="7411" max="7411" width="47.36328125" style="1" customWidth="1"/>
    <col min="7412" max="7412" width="10.08984375" style="1" customWidth="1"/>
    <col min="7413" max="7413" width="6.6328125" style="1" customWidth="1"/>
    <col min="7414" max="7414" width="22.453125" style="1" customWidth="1"/>
    <col min="7415" max="7415" width="25.36328125" style="1" customWidth="1"/>
    <col min="7416" max="7416" width="31.90625" style="1" customWidth="1"/>
    <col min="7417" max="7417" width="33.54296875" style="1" customWidth="1"/>
    <col min="7418" max="7418" width="24.90625" style="1" customWidth="1"/>
    <col min="7419" max="7419" width="23.08984375" style="1" bestFit="1" customWidth="1"/>
    <col min="7420" max="7420" width="26.54296875" style="1" customWidth="1"/>
    <col min="7421" max="7421" width="17.08984375" style="1" customWidth="1"/>
    <col min="7422" max="7665" width="9.08984375" style="1"/>
    <col min="7666" max="7666" width="9.6328125" style="1" customWidth="1"/>
    <col min="7667" max="7667" width="47.36328125" style="1" customWidth="1"/>
    <col min="7668" max="7668" width="10.08984375" style="1" customWidth="1"/>
    <col min="7669" max="7669" width="6.6328125" style="1" customWidth="1"/>
    <col min="7670" max="7670" width="22.453125" style="1" customWidth="1"/>
    <col min="7671" max="7671" width="25.36328125" style="1" customWidth="1"/>
    <col min="7672" max="7672" width="31.90625" style="1" customWidth="1"/>
    <col min="7673" max="7673" width="33.54296875" style="1" customWidth="1"/>
    <col min="7674" max="7674" width="24.90625" style="1" customWidth="1"/>
    <col min="7675" max="7675" width="23.08984375" style="1" bestFit="1" customWidth="1"/>
    <col min="7676" max="7676" width="26.54296875" style="1" customWidth="1"/>
    <col min="7677" max="7677" width="17.08984375" style="1" customWidth="1"/>
    <col min="7678" max="7921" width="9.08984375" style="1"/>
    <col min="7922" max="7922" width="9.6328125" style="1" customWidth="1"/>
    <col min="7923" max="7923" width="47.36328125" style="1" customWidth="1"/>
    <col min="7924" max="7924" width="10.08984375" style="1" customWidth="1"/>
    <col min="7925" max="7925" width="6.6328125" style="1" customWidth="1"/>
    <col min="7926" max="7926" width="22.453125" style="1" customWidth="1"/>
    <col min="7927" max="7927" width="25.36328125" style="1" customWidth="1"/>
    <col min="7928" max="7928" width="31.90625" style="1" customWidth="1"/>
    <col min="7929" max="7929" width="33.54296875" style="1" customWidth="1"/>
    <col min="7930" max="7930" width="24.90625" style="1" customWidth="1"/>
    <col min="7931" max="7931" width="23.08984375" style="1" bestFit="1" customWidth="1"/>
    <col min="7932" max="7932" width="26.54296875" style="1" customWidth="1"/>
    <col min="7933" max="7933" width="17.08984375" style="1" customWidth="1"/>
    <col min="7934" max="8177" width="9.08984375" style="1"/>
    <col min="8178" max="8178" width="9.6328125" style="1" customWidth="1"/>
    <col min="8179" max="8179" width="47.36328125" style="1" customWidth="1"/>
    <col min="8180" max="8180" width="10.08984375" style="1" customWidth="1"/>
    <col min="8181" max="8181" width="6.6328125" style="1" customWidth="1"/>
    <col min="8182" max="8182" width="22.453125" style="1" customWidth="1"/>
    <col min="8183" max="8183" width="25.36328125" style="1" customWidth="1"/>
    <col min="8184" max="8184" width="31.90625" style="1" customWidth="1"/>
    <col min="8185" max="8185" width="33.54296875" style="1" customWidth="1"/>
    <col min="8186" max="8186" width="24.90625" style="1" customWidth="1"/>
    <col min="8187" max="8187" width="23.08984375" style="1" bestFit="1" customWidth="1"/>
    <col min="8188" max="8188" width="26.54296875" style="1" customWidth="1"/>
    <col min="8189" max="8189" width="17.08984375" style="1" customWidth="1"/>
    <col min="8190" max="8433" width="9.08984375" style="1"/>
    <col min="8434" max="8434" width="9.6328125" style="1" customWidth="1"/>
    <col min="8435" max="8435" width="47.36328125" style="1" customWidth="1"/>
    <col min="8436" max="8436" width="10.08984375" style="1" customWidth="1"/>
    <col min="8437" max="8437" width="6.6328125" style="1" customWidth="1"/>
    <col min="8438" max="8438" width="22.453125" style="1" customWidth="1"/>
    <col min="8439" max="8439" width="25.36328125" style="1" customWidth="1"/>
    <col min="8440" max="8440" width="31.90625" style="1" customWidth="1"/>
    <col min="8441" max="8441" width="33.54296875" style="1" customWidth="1"/>
    <col min="8442" max="8442" width="24.90625" style="1" customWidth="1"/>
    <col min="8443" max="8443" width="23.08984375" style="1" bestFit="1" customWidth="1"/>
    <col min="8444" max="8444" width="26.54296875" style="1" customWidth="1"/>
    <col min="8445" max="8445" width="17.08984375" style="1" customWidth="1"/>
    <col min="8446" max="8689" width="9.08984375" style="1"/>
    <col min="8690" max="8690" width="9.6328125" style="1" customWidth="1"/>
    <col min="8691" max="8691" width="47.36328125" style="1" customWidth="1"/>
    <col min="8692" max="8692" width="10.08984375" style="1" customWidth="1"/>
    <col min="8693" max="8693" width="6.6328125" style="1" customWidth="1"/>
    <col min="8694" max="8694" width="22.453125" style="1" customWidth="1"/>
    <col min="8695" max="8695" width="25.36328125" style="1" customWidth="1"/>
    <col min="8696" max="8696" width="31.90625" style="1" customWidth="1"/>
    <col min="8697" max="8697" width="33.54296875" style="1" customWidth="1"/>
    <col min="8698" max="8698" width="24.90625" style="1" customWidth="1"/>
    <col min="8699" max="8699" width="23.08984375" style="1" bestFit="1" customWidth="1"/>
    <col min="8700" max="8700" width="26.54296875" style="1" customWidth="1"/>
    <col min="8701" max="8701" width="17.08984375" style="1" customWidth="1"/>
    <col min="8702" max="8945" width="9.08984375" style="1"/>
    <col min="8946" max="8946" width="9.6328125" style="1" customWidth="1"/>
    <col min="8947" max="8947" width="47.36328125" style="1" customWidth="1"/>
    <col min="8948" max="8948" width="10.08984375" style="1" customWidth="1"/>
    <col min="8949" max="8949" width="6.6328125" style="1" customWidth="1"/>
    <col min="8950" max="8950" width="22.453125" style="1" customWidth="1"/>
    <col min="8951" max="8951" width="25.36328125" style="1" customWidth="1"/>
    <col min="8952" max="8952" width="31.90625" style="1" customWidth="1"/>
    <col min="8953" max="8953" width="33.54296875" style="1" customWidth="1"/>
    <col min="8954" max="8954" width="24.90625" style="1" customWidth="1"/>
    <col min="8955" max="8955" width="23.08984375" style="1" bestFit="1" customWidth="1"/>
    <col min="8956" max="8956" width="26.54296875" style="1" customWidth="1"/>
    <col min="8957" max="8957" width="17.08984375" style="1" customWidth="1"/>
    <col min="8958" max="9201" width="9.08984375" style="1"/>
    <col min="9202" max="9202" width="9.6328125" style="1" customWidth="1"/>
    <col min="9203" max="9203" width="47.36328125" style="1" customWidth="1"/>
    <col min="9204" max="9204" width="10.08984375" style="1" customWidth="1"/>
    <col min="9205" max="9205" width="6.6328125" style="1" customWidth="1"/>
    <col min="9206" max="9206" width="22.453125" style="1" customWidth="1"/>
    <col min="9207" max="9207" width="25.36328125" style="1" customWidth="1"/>
    <col min="9208" max="9208" width="31.90625" style="1" customWidth="1"/>
    <col min="9209" max="9209" width="33.54296875" style="1" customWidth="1"/>
    <col min="9210" max="9210" width="24.90625" style="1" customWidth="1"/>
    <col min="9211" max="9211" width="23.08984375" style="1" bestFit="1" customWidth="1"/>
    <col min="9212" max="9212" width="26.54296875" style="1" customWidth="1"/>
    <col min="9213" max="9213" width="17.08984375" style="1" customWidth="1"/>
    <col min="9214" max="9457" width="9.08984375" style="1"/>
    <col min="9458" max="9458" width="9.6328125" style="1" customWidth="1"/>
    <col min="9459" max="9459" width="47.36328125" style="1" customWidth="1"/>
    <col min="9460" max="9460" width="10.08984375" style="1" customWidth="1"/>
    <col min="9461" max="9461" width="6.6328125" style="1" customWidth="1"/>
    <col min="9462" max="9462" width="22.453125" style="1" customWidth="1"/>
    <col min="9463" max="9463" width="25.36328125" style="1" customWidth="1"/>
    <col min="9464" max="9464" width="31.90625" style="1" customWidth="1"/>
    <col min="9465" max="9465" width="33.54296875" style="1" customWidth="1"/>
    <col min="9466" max="9466" width="24.90625" style="1" customWidth="1"/>
    <col min="9467" max="9467" width="23.08984375" style="1" bestFit="1" customWidth="1"/>
    <col min="9468" max="9468" width="26.54296875" style="1" customWidth="1"/>
    <col min="9469" max="9469" width="17.08984375" style="1" customWidth="1"/>
    <col min="9470" max="9713" width="9.08984375" style="1"/>
    <col min="9714" max="9714" width="9.6328125" style="1" customWidth="1"/>
    <col min="9715" max="9715" width="47.36328125" style="1" customWidth="1"/>
    <col min="9716" max="9716" width="10.08984375" style="1" customWidth="1"/>
    <col min="9717" max="9717" width="6.6328125" style="1" customWidth="1"/>
    <col min="9718" max="9718" width="22.453125" style="1" customWidth="1"/>
    <col min="9719" max="9719" width="25.36328125" style="1" customWidth="1"/>
    <col min="9720" max="9720" width="31.90625" style="1" customWidth="1"/>
    <col min="9721" max="9721" width="33.54296875" style="1" customWidth="1"/>
    <col min="9722" max="9722" width="24.90625" style="1" customWidth="1"/>
    <col min="9723" max="9723" width="23.08984375" style="1" bestFit="1" customWidth="1"/>
    <col min="9724" max="9724" width="26.54296875" style="1" customWidth="1"/>
    <col min="9725" max="9725" width="17.08984375" style="1" customWidth="1"/>
    <col min="9726" max="9969" width="9.08984375" style="1"/>
    <col min="9970" max="9970" width="9.6328125" style="1" customWidth="1"/>
    <col min="9971" max="9971" width="47.36328125" style="1" customWidth="1"/>
    <col min="9972" max="9972" width="10.08984375" style="1" customWidth="1"/>
    <col min="9973" max="9973" width="6.6328125" style="1" customWidth="1"/>
    <col min="9974" max="9974" width="22.453125" style="1" customWidth="1"/>
    <col min="9975" max="9975" width="25.36328125" style="1" customWidth="1"/>
    <col min="9976" max="9976" width="31.90625" style="1" customWidth="1"/>
    <col min="9977" max="9977" width="33.54296875" style="1" customWidth="1"/>
    <col min="9978" max="9978" width="24.90625" style="1" customWidth="1"/>
    <col min="9979" max="9979" width="23.08984375" style="1" bestFit="1" customWidth="1"/>
    <col min="9980" max="9980" width="26.54296875" style="1" customWidth="1"/>
    <col min="9981" max="9981" width="17.08984375" style="1" customWidth="1"/>
    <col min="9982" max="10225" width="9.08984375" style="1"/>
    <col min="10226" max="10226" width="9.6328125" style="1" customWidth="1"/>
    <col min="10227" max="10227" width="47.36328125" style="1" customWidth="1"/>
    <col min="10228" max="10228" width="10.08984375" style="1" customWidth="1"/>
    <col min="10229" max="10229" width="6.6328125" style="1" customWidth="1"/>
    <col min="10230" max="10230" width="22.453125" style="1" customWidth="1"/>
    <col min="10231" max="10231" width="25.36328125" style="1" customWidth="1"/>
    <col min="10232" max="10232" width="31.90625" style="1" customWidth="1"/>
    <col min="10233" max="10233" width="33.54296875" style="1" customWidth="1"/>
    <col min="10234" max="10234" width="24.90625" style="1" customWidth="1"/>
    <col min="10235" max="10235" width="23.08984375" style="1" bestFit="1" customWidth="1"/>
    <col min="10236" max="10236" width="26.54296875" style="1" customWidth="1"/>
    <col min="10237" max="10237" width="17.08984375" style="1" customWidth="1"/>
    <col min="10238" max="10481" width="9.08984375" style="1"/>
    <col min="10482" max="10482" width="9.6328125" style="1" customWidth="1"/>
    <col min="10483" max="10483" width="47.36328125" style="1" customWidth="1"/>
    <col min="10484" max="10484" width="10.08984375" style="1" customWidth="1"/>
    <col min="10485" max="10485" width="6.6328125" style="1" customWidth="1"/>
    <col min="10486" max="10486" width="22.453125" style="1" customWidth="1"/>
    <col min="10487" max="10487" width="25.36328125" style="1" customWidth="1"/>
    <col min="10488" max="10488" width="31.90625" style="1" customWidth="1"/>
    <col min="10489" max="10489" width="33.54296875" style="1" customWidth="1"/>
    <col min="10490" max="10490" width="24.90625" style="1" customWidth="1"/>
    <col min="10491" max="10491" width="23.08984375" style="1" bestFit="1" customWidth="1"/>
    <col min="10492" max="10492" width="26.54296875" style="1" customWidth="1"/>
    <col min="10493" max="10493" width="17.08984375" style="1" customWidth="1"/>
    <col min="10494" max="10737" width="9.08984375" style="1"/>
    <col min="10738" max="10738" width="9.6328125" style="1" customWidth="1"/>
    <col min="10739" max="10739" width="47.36328125" style="1" customWidth="1"/>
    <col min="10740" max="10740" width="10.08984375" style="1" customWidth="1"/>
    <col min="10741" max="10741" width="6.6328125" style="1" customWidth="1"/>
    <col min="10742" max="10742" width="22.453125" style="1" customWidth="1"/>
    <col min="10743" max="10743" width="25.36328125" style="1" customWidth="1"/>
    <col min="10744" max="10744" width="31.90625" style="1" customWidth="1"/>
    <col min="10745" max="10745" width="33.54296875" style="1" customWidth="1"/>
    <col min="10746" max="10746" width="24.90625" style="1" customWidth="1"/>
    <col min="10747" max="10747" width="23.08984375" style="1" bestFit="1" customWidth="1"/>
    <col min="10748" max="10748" width="26.54296875" style="1" customWidth="1"/>
    <col min="10749" max="10749" width="17.08984375" style="1" customWidth="1"/>
    <col min="10750" max="10993" width="9.08984375" style="1"/>
    <col min="10994" max="10994" width="9.6328125" style="1" customWidth="1"/>
    <col min="10995" max="10995" width="47.36328125" style="1" customWidth="1"/>
    <col min="10996" max="10996" width="10.08984375" style="1" customWidth="1"/>
    <col min="10997" max="10997" width="6.6328125" style="1" customWidth="1"/>
    <col min="10998" max="10998" width="22.453125" style="1" customWidth="1"/>
    <col min="10999" max="10999" width="25.36328125" style="1" customWidth="1"/>
    <col min="11000" max="11000" width="31.90625" style="1" customWidth="1"/>
    <col min="11001" max="11001" width="33.54296875" style="1" customWidth="1"/>
    <col min="11002" max="11002" width="24.90625" style="1" customWidth="1"/>
    <col min="11003" max="11003" width="23.08984375" style="1" bestFit="1" customWidth="1"/>
    <col min="11004" max="11004" width="26.54296875" style="1" customWidth="1"/>
    <col min="11005" max="11005" width="17.08984375" style="1" customWidth="1"/>
    <col min="11006" max="11249" width="9.08984375" style="1"/>
    <col min="11250" max="11250" width="9.6328125" style="1" customWidth="1"/>
    <col min="11251" max="11251" width="47.36328125" style="1" customWidth="1"/>
    <col min="11252" max="11252" width="10.08984375" style="1" customWidth="1"/>
    <col min="11253" max="11253" width="6.6328125" style="1" customWidth="1"/>
    <col min="11254" max="11254" width="22.453125" style="1" customWidth="1"/>
    <col min="11255" max="11255" width="25.36328125" style="1" customWidth="1"/>
    <col min="11256" max="11256" width="31.90625" style="1" customWidth="1"/>
    <col min="11257" max="11257" width="33.54296875" style="1" customWidth="1"/>
    <col min="11258" max="11258" width="24.90625" style="1" customWidth="1"/>
    <col min="11259" max="11259" width="23.08984375" style="1" bestFit="1" customWidth="1"/>
    <col min="11260" max="11260" width="26.54296875" style="1" customWidth="1"/>
    <col min="11261" max="11261" width="17.08984375" style="1" customWidth="1"/>
    <col min="11262" max="11505" width="9.08984375" style="1"/>
    <col min="11506" max="11506" width="9.6328125" style="1" customWidth="1"/>
    <col min="11507" max="11507" width="47.36328125" style="1" customWidth="1"/>
    <col min="11508" max="11508" width="10.08984375" style="1" customWidth="1"/>
    <col min="11509" max="11509" width="6.6328125" style="1" customWidth="1"/>
    <col min="11510" max="11510" width="22.453125" style="1" customWidth="1"/>
    <col min="11511" max="11511" width="25.36328125" style="1" customWidth="1"/>
    <col min="11512" max="11512" width="31.90625" style="1" customWidth="1"/>
    <col min="11513" max="11513" width="33.54296875" style="1" customWidth="1"/>
    <col min="11514" max="11514" width="24.90625" style="1" customWidth="1"/>
    <col min="11515" max="11515" width="23.08984375" style="1" bestFit="1" customWidth="1"/>
    <col min="11516" max="11516" width="26.54296875" style="1" customWidth="1"/>
    <col min="11517" max="11517" width="17.08984375" style="1" customWidth="1"/>
    <col min="11518" max="11761" width="9.08984375" style="1"/>
    <col min="11762" max="11762" width="9.6328125" style="1" customWidth="1"/>
    <col min="11763" max="11763" width="47.36328125" style="1" customWidth="1"/>
    <col min="11764" max="11764" width="10.08984375" style="1" customWidth="1"/>
    <col min="11765" max="11765" width="6.6328125" style="1" customWidth="1"/>
    <col min="11766" max="11766" width="22.453125" style="1" customWidth="1"/>
    <col min="11767" max="11767" width="25.36328125" style="1" customWidth="1"/>
    <col min="11768" max="11768" width="31.90625" style="1" customWidth="1"/>
    <col min="11769" max="11769" width="33.54296875" style="1" customWidth="1"/>
    <col min="11770" max="11770" width="24.90625" style="1" customWidth="1"/>
    <col min="11771" max="11771" width="23.08984375" style="1" bestFit="1" customWidth="1"/>
    <col min="11772" max="11772" width="26.54296875" style="1" customWidth="1"/>
    <col min="11773" max="11773" width="17.08984375" style="1" customWidth="1"/>
    <col min="11774" max="12017" width="9.08984375" style="1"/>
    <col min="12018" max="12018" width="9.6328125" style="1" customWidth="1"/>
    <col min="12019" max="12019" width="47.36328125" style="1" customWidth="1"/>
    <col min="12020" max="12020" width="10.08984375" style="1" customWidth="1"/>
    <col min="12021" max="12021" width="6.6328125" style="1" customWidth="1"/>
    <col min="12022" max="12022" width="22.453125" style="1" customWidth="1"/>
    <col min="12023" max="12023" width="25.36328125" style="1" customWidth="1"/>
    <col min="12024" max="12024" width="31.90625" style="1" customWidth="1"/>
    <col min="12025" max="12025" width="33.54296875" style="1" customWidth="1"/>
    <col min="12026" max="12026" width="24.90625" style="1" customWidth="1"/>
    <col min="12027" max="12027" width="23.08984375" style="1" bestFit="1" customWidth="1"/>
    <col min="12028" max="12028" width="26.54296875" style="1" customWidth="1"/>
    <col min="12029" max="12029" width="17.08984375" style="1" customWidth="1"/>
    <col min="12030" max="12273" width="9.08984375" style="1"/>
    <col min="12274" max="12274" width="9.6328125" style="1" customWidth="1"/>
    <col min="12275" max="12275" width="47.36328125" style="1" customWidth="1"/>
    <col min="12276" max="12276" width="10.08984375" style="1" customWidth="1"/>
    <col min="12277" max="12277" width="6.6328125" style="1" customWidth="1"/>
    <col min="12278" max="12278" width="22.453125" style="1" customWidth="1"/>
    <col min="12279" max="12279" width="25.36328125" style="1" customWidth="1"/>
    <col min="12280" max="12280" width="31.90625" style="1" customWidth="1"/>
    <col min="12281" max="12281" width="33.54296875" style="1" customWidth="1"/>
    <col min="12282" max="12282" width="24.90625" style="1" customWidth="1"/>
    <col min="12283" max="12283" width="23.08984375" style="1" bestFit="1" customWidth="1"/>
    <col min="12284" max="12284" width="26.54296875" style="1" customWidth="1"/>
    <col min="12285" max="12285" width="17.08984375" style="1" customWidth="1"/>
    <col min="12286" max="12529" width="9.08984375" style="1"/>
    <col min="12530" max="12530" width="9.6328125" style="1" customWidth="1"/>
    <col min="12531" max="12531" width="47.36328125" style="1" customWidth="1"/>
    <col min="12532" max="12532" width="10.08984375" style="1" customWidth="1"/>
    <col min="12533" max="12533" width="6.6328125" style="1" customWidth="1"/>
    <col min="12534" max="12534" width="22.453125" style="1" customWidth="1"/>
    <col min="12535" max="12535" width="25.36328125" style="1" customWidth="1"/>
    <col min="12536" max="12536" width="31.90625" style="1" customWidth="1"/>
    <col min="12537" max="12537" width="33.54296875" style="1" customWidth="1"/>
    <col min="12538" max="12538" width="24.90625" style="1" customWidth="1"/>
    <col min="12539" max="12539" width="23.08984375" style="1" bestFit="1" customWidth="1"/>
    <col min="12540" max="12540" width="26.54296875" style="1" customWidth="1"/>
    <col min="12541" max="12541" width="17.08984375" style="1" customWidth="1"/>
    <col min="12542" max="12785" width="9.08984375" style="1"/>
    <col min="12786" max="12786" width="9.6328125" style="1" customWidth="1"/>
    <col min="12787" max="12787" width="47.36328125" style="1" customWidth="1"/>
    <col min="12788" max="12788" width="10.08984375" style="1" customWidth="1"/>
    <col min="12789" max="12789" width="6.6328125" style="1" customWidth="1"/>
    <col min="12790" max="12790" width="22.453125" style="1" customWidth="1"/>
    <col min="12791" max="12791" width="25.36328125" style="1" customWidth="1"/>
    <col min="12792" max="12792" width="31.90625" style="1" customWidth="1"/>
    <col min="12793" max="12793" width="33.54296875" style="1" customWidth="1"/>
    <col min="12794" max="12794" width="24.90625" style="1" customWidth="1"/>
    <col min="12795" max="12795" width="23.08984375" style="1" bestFit="1" customWidth="1"/>
    <col min="12796" max="12796" width="26.54296875" style="1" customWidth="1"/>
    <col min="12797" max="12797" width="17.08984375" style="1" customWidth="1"/>
    <col min="12798" max="13041" width="9.08984375" style="1"/>
    <col min="13042" max="13042" width="9.6328125" style="1" customWidth="1"/>
    <col min="13043" max="13043" width="47.36328125" style="1" customWidth="1"/>
    <col min="13044" max="13044" width="10.08984375" style="1" customWidth="1"/>
    <col min="13045" max="13045" width="6.6328125" style="1" customWidth="1"/>
    <col min="13046" max="13046" width="22.453125" style="1" customWidth="1"/>
    <col min="13047" max="13047" width="25.36328125" style="1" customWidth="1"/>
    <col min="13048" max="13048" width="31.90625" style="1" customWidth="1"/>
    <col min="13049" max="13049" width="33.54296875" style="1" customWidth="1"/>
    <col min="13050" max="13050" width="24.90625" style="1" customWidth="1"/>
    <col min="13051" max="13051" width="23.08984375" style="1" bestFit="1" customWidth="1"/>
    <col min="13052" max="13052" width="26.54296875" style="1" customWidth="1"/>
    <col min="13053" max="13053" width="17.08984375" style="1" customWidth="1"/>
    <col min="13054" max="13297" width="9.08984375" style="1"/>
    <col min="13298" max="13298" width="9.6328125" style="1" customWidth="1"/>
    <col min="13299" max="13299" width="47.36328125" style="1" customWidth="1"/>
    <col min="13300" max="13300" width="10.08984375" style="1" customWidth="1"/>
    <col min="13301" max="13301" width="6.6328125" style="1" customWidth="1"/>
    <col min="13302" max="13302" width="22.453125" style="1" customWidth="1"/>
    <col min="13303" max="13303" width="25.36328125" style="1" customWidth="1"/>
    <col min="13304" max="13304" width="31.90625" style="1" customWidth="1"/>
    <col min="13305" max="13305" width="33.54296875" style="1" customWidth="1"/>
    <col min="13306" max="13306" width="24.90625" style="1" customWidth="1"/>
    <col min="13307" max="13307" width="23.08984375" style="1" bestFit="1" customWidth="1"/>
    <col min="13308" max="13308" width="26.54296875" style="1" customWidth="1"/>
    <col min="13309" max="13309" width="17.08984375" style="1" customWidth="1"/>
    <col min="13310" max="13553" width="9.08984375" style="1"/>
    <col min="13554" max="13554" width="9.6328125" style="1" customWidth="1"/>
    <col min="13555" max="13555" width="47.36328125" style="1" customWidth="1"/>
    <col min="13556" max="13556" width="10.08984375" style="1" customWidth="1"/>
    <col min="13557" max="13557" width="6.6328125" style="1" customWidth="1"/>
    <col min="13558" max="13558" width="22.453125" style="1" customWidth="1"/>
    <col min="13559" max="13559" width="25.36328125" style="1" customWidth="1"/>
    <col min="13560" max="13560" width="31.90625" style="1" customWidth="1"/>
    <col min="13561" max="13561" width="33.54296875" style="1" customWidth="1"/>
    <col min="13562" max="13562" width="24.90625" style="1" customWidth="1"/>
    <col min="13563" max="13563" width="23.08984375" style="1" bestFit="1" customWidth="1"/>
    <col min="13564" max="13564" width="26.54296875" style="1" customWidth="1"/>
    <col min="13565" max="13565" width="17.08984375" style="1" customWidth="1"/>
    <col min="13566" max="13809" width="9.08984375" style="1"/>
    <col min="13810" max="13810" width="9.6328125" style="1" customWidth="1"/>
    <col min="13811" max="13811" width="47.36328125" style="1" customWidth="1"/>
    <col min="13812" max="13812" width="10.08984375" style="1" customWidth="1"/>
    <col min="13813" max="13813" width="6.6328125" style="1" customWidth="1"/>
    <col min="13814" max="13814" width="22.453125" style="1" customWidth="1"/>
    <col min="13815" max="13815" width="25.36328125" style="1" customWidth="1"/>
    <col min="13816" max="13816" width="31.90625" style="1" customWidth="1"/>
    <col min="13817" max="13817" width="33.54296875" style="1" customWidth="1"/>
    <col min="13818" max="13818" width="24.90625" style="1" customWidth="1"/>
    <col min="13819" max="13819" width="23.08984375" style="1" bestFit="1" customWidth="1"/>
    <col min="13820" max="13820" width="26.54296875" style="1" customWidth="1"/>
    <col min="13821" max="13821" width="17.08984375" style="1" customWidth="1"/>
    <col min="13822" max="14065" width="9.08984375" style="1"/>
    <col min="14066" max="14066" width="9.6328125" style="1" customWidth="1"/>
    <col min="14067" max="14067" width="47.36328125" style="1" customWidth="1"/>
    <col min="14068" max="14068" width="10.08984375" style="1" customWidth="1"/>
    <col min="14069" max="14069" width="6.6328125" style="1" customWidth="1"/>
    <col min="14070" max="14070" width="22.453125" style="1" customWidth="1"/>
    <col min="14071" max="14071" width="25.36328125" style="1" customWidth="1"/>
    <col min="14072" max="14072" width="31.90625" style="1" customWidth="1"/>
    <col min="14073" max="14073" width="33.54296875" style="1" customWidth="1"/>
    <col min="14074" max="14074" width="24.90625" style="1" customWidth="1"/>
    <col min="14075" max="14075" width="23.08984375" style="1" bestFit="1" customWidth="1"/>
    <col min="14076" max="14076" width="26.54296875" style="1" customWidth="1"/>
    <col min="14077" max="14077" width="17.08984375" style="1" customWidth="1"/>
    <col min="14078" max="14321" width="9.08984375" style="1"/>
    <col min="14322" max="14322" width="9.6328125" style="1" customWidth="1"/>
    <col min="14323" max="14323" width="47.36328125" style="1" customWidth="1"/>
    <col min="14324" max="14324" width="10.08984375" style="1" customWidth="1"/>
    <col min="14325" max="14325" width="6.6328125" style="1" customWidth="1"/>
    <col min="14326" max="14326" width="22.453125" style="1" customWidth="1"/>
    <col min="14327" max="14327" width="25.36328125" style="1" customWidth="1"/>
    <col min="14328" max="14328" width="31.90625" style="1" customWidth="1"/>
    <col min="14329" max="14329" width="33.54296875" style="1" customWidth="1"/>
    <col min="14330" max="14330" width="24.90625" style="1" customWidth="1"/>
    <col min="14331" max="14331" width="23.08984375" style="1" bestFit="1" customWidth="1"/>
    <col min="14332" max="14332" width="26.54296875" style="1" customWidth="1"/>
    <col min="14333" max="14333" width="17.08984375" style="1" customWidth="1"/>
    <col min="14334" max="14577" width="9.08984375" style="1"/>
    <col min="14578" max="14578" width="9.6328125" style="1" customWidth="1"/>
    <col min="14579" max="14579" width="47.36328125" style="1" customWidth="1"/>
    <col min="14580" max="14580" width="10.08984375" style="1" customWidth="1"/>
    <col min="14581" max="14581" width="6.6328125" style="1" customWidth="1"/>
    <col min="14582" max="14582" width="22.453125" style="1" customWidth="1"/>
    <col min="14583" max="14583" width="25.36328125" style="1" customWidth="1"/>
    <col min="14584" max="14584" width="31.90625" style="1" customWidth="1"/>
    <col min="14585" max="14585" width="33.54296875" style="1" customWidth="1"/>
    <col min="14586" max="14586" width="24.90625" style="1" customWidth="1"/>
    <col min="14587" max="14587" width="23.08984375" style="1" bestFit="1" customWidth="1"/>
    <col min="14588" max="14588" width="26.54296875" style="1" customWidth="1"/>
    <col min="14589" max="14589" width="17.08984375" style="1" customWidth="1"/>
    <col min="14590" max="14833" width="9.08984375" style="1"/>
    <col min="14834" max="14834" width="9.6328125" style="1" customWidth="1"/>
    <col min="14835" max="14835" width="47.36328125" style="1" customWidth="1"/>
    <col min="14836" max="14836" width="10.08984375" style="1" customWidth="1"/>
    <col min="14837" max="14837" width="6.6328125" style="1" customWidth="1"/>
    <col min="14838" max="14838" width="22.453125" style="1" customWidth="1"/>
    <col min="14839" max="14839" width="25.36328125" style="1" customWidth="1"/>
    <col min="14840" max="14840" width="31.90625" style="1" customWidth="1"/>
    <col min="14841" max="14841" width="33.54296875" style="1" customWidth="1"/>
    <col min="14842" max="14842" width="24.90625" style="1" customWidth="1"/>
    <col min="14843" max="14843" width="23.08984375" style="1" bestFit="1" customWidth="1"/>
    <col min="14844" max="14844" width="26.54296875" style="1" customWidth="1"/>
    <col min="14845" max="14845" width="17.08984375" style="1" customWidth="1"/>
    <col min="14846" max="15089" width="9.08984375" style="1"/>
    <col min="15090" max="15090" width="9.6328125" style="1" customWidth="1"/>
    <col min="15091" max="15091" width="47.36328125" style="1" customWidth="1"/>
    <col min="15092" max="15092" width="10.08984375" style="1" customWidth="1"/>
    <col min="15093" max="15093" width="6.6328125" style="1" customWidth="1"/>
    <col min="15094" max="15094" width="22.453125" style="1" customWidth="1"/>
    <col min="15095" max="15095" width="25.36328125" style="1" customWidth="1"/>
    <col min="15096" max="15096" width="31.90625" style="1" customWidth="1"/>
    <col min="15097" max="15097" width="33.54296875" style="1" customWidth="1"/>
    <col min="15098" max="15098" width="24.90625" style="1" customWidth="1"/>
    <col min="15099" max="15099" width="23.08984375" style="1" bestFit="1" customWidth="1"/>
    <col min="15100" max="15100" width="26.54296875" style="1" customWidth="1"/>
    <col min="15101" max="15101" width="17.08984375" style="1" customWidth="1"/>
    <col min="15102" max="15345" width="9.08984375" style="1"/>
    <col min="15346" max="15346" width="9.6328125" style="1" customWidth="1"/>
    <col min="15347" max="15347" width="47.36328125" style="1" customWidth="1"/>
    <col min="15348" max="15348" width="10.08984375" style="1" customWidth="1"/>
    <col min="15349" max="15349" width="6.6328125" style="1" customWidth="1"/>
    <col min="15350" max="15350" width="22.453125" style="1" customWidth="1"/>
    <col min="15351" max="15351" width="25.36328125" style="1" customWidth="1"/>
    <col min="15352" max="15352" width="31.90625" style="1" customWidth="1"/>
    <col min="15353" max="15353" width="33.54296875" style="1" customWidth="1"/>
    <col min="15354" max="15354" width="24.90625" style="1" customWidth="1"/>
    <col min="15355" max="15355" width="23.08984375" style="1" bestFit="1" customWidth="1"/>
    <col min="15356" max="15356" width="26.54296875" style="1" customWidth="1"/>
    <col min="15357" max="15357" width="17.08984375" style="1" customWidth="1"/>
    <col min="15358" max="15601" width="9.08984375" style="1"/>
    <col min="15602" max="15602" width="9.6328125" style="1" customWidth="1"/>
    <col min="15603" max="15603" width="47.36328125" style="1" customWidth="1"/>
    <col min="15604" max="15604" width="10.08984375" style="1" customWidth="1"/>
    <col min="15605" max="15605" width="6.6328125" style="1" customWidth="1"/>
    <col min="15606" max="15606" width="22.453125" style="1" customWidth="1"/>
    <col min="15607" max="15607" width="25.36328125" style="1" customWidth="1"/>
    <col min="15608" max="15608" width="31.90625" style="1" customWidth="1"/>
    <col min="15609" max="15609" width="33.54296875" style="1" customWidth="1"/>
    <col min="15610" max="15610" width="24.90625" style="1" customWidth="1"/>
    <col min="15611" max="15611" width="23.08984375" style="1" bestFit="1" customWidth="1"/>
    <col min="15612" max="15612" width="26.54296875" style="1" customWidth="1"/>
    <col min="15613" max="15613" width="17.08984375" style="1" customWidth="1"/>
    <col min="15614" max="15857" width="9.08984375" style="1"/>
    <col min="15858" max="15858" width="9.6328125" style="1" customWidth="1"/>
    <col min="15859" max="15859" width="47.36328125" style="1" customWidth="1"/>
    <col min="15860" max="15860" width="10.08984375" style="1" customWidth="1"/>
    <col min="15861" max="15861" width="6.6328125" style="1" customWidth="1"/>
    <col min="15862" max="15862" width="22.453125" style="1" customWidth="1"/>
    <col min="15863" max="15863" width="25.36328125" style="1" customWidth="1"/>
    <col min="15864" max="15864" width="31.90625" style="1" customWidth="1"/>
    <col min="15865" max="15865" width="33.54296875" style="1" customWidth="1"/>
    <col min="15866" max="15866" width="24.90625" style="1" customWidth="1"/>
    <col min="15867" max="15867" width="23.08984375" style="1" bestFit="1" customWidth="1"/>
    <col min="15868" max="15868" width="26.54296875" style="1" customWidth="1"/>
    <col min="15869" max="15869" width="17.08984375" style="1" customWidth="1"/>
    <col min="15870" max="16113" width="9.08984375" style="1"/>
    <col min="16114" max="16114" width="9.6328125" style="1" customWidth="1"/>
    <col min="16115" max="16115" width="47.36328125" style="1" customWidth="1"/>
    <col min="16116" max="16116" width="10.08984375" style="1" customWidth="1"/>
    <col min="16117" max="16117" width="6.6328125" style="1" customWidth="1"/>
    <col min="16118" max="16118" width="22.453125" style="1" customWidth="1"/>
    <col min="16119" max="16119" width="25.36328125" style="1" customWidth="1"/>
    <col min="16120" max="16120" width="31.90625" style="1" customWidth="1"/>
    <col min="16121" max="16121" width="33.54296875" style="1" customWidth="1"/>
    <col min="16122" max="16122" width="24.90625" style="1" customWidth="1"/>
    <col min="16123" max="16123" width="23.08984375" style="1" bestFit="1" customWidth="1"/>
    <col min="16124" max="16124" width="26.54296875" style="1" customWidth="1"/>
    <col min="16125" max="16125" width="17.08984375" style="1" customWidth="1"/>
    <col min="16126" max="16384" width="9.08984375" style="1"/>
  </cols>
  <sheetData>
    <row r="1" spans="1:6" s="3" customFormat="1" ht="21">
      <c r="A1" s="83" t="s">
        <v>30</v>
      </c>
      <c r="B1" s="10"/>
      <c r="C1" s="10"/>
      <c r="D1" s="11"/>
      <c r="E1" s="12">
        <f>E22-E4</f>
        <v>109000000</v>
      </c>
    </row>
    <row r="2" spans="1:6" s="3" customFormat="1" ht="18.5">
      <c r="A2" s="13" t="s">
        <v>23</v>
      </c>
      <c r="B2" s="14"/>
      <c r="C2" s="14" t="s">
        <v>24</v>
      </c>
      <c r="D2" s="15" t="s">
        <v>187</v>
      </c>
      <c r="E2" s="16"/>
    </row>
    <row r="3" spans="1:6" s="3" customFormat="1" ht="18.5">
      <c r="A3" s="13" t="s">
        <v>25</v>
      </c>
      <c r="B3" s="14"/>
      <c r="C3" s="14" t="s">
        <v>24</v>
      </c>
      <c r="D3" s="15" t="s">
        <v>185</v>
      </c>
      <c r="E3" s="16" t="s">
        <v>194</v>
      </c>
    </row>
    <row r="4" spans="1:6" s="3" customFormat="1" ht="15.75" customHeight="1" thickBot="1">
      <c r="A4" s="17" t="s">
        <v>26</v>
      </c>
      <c r="B4" s="18"/>
      <c r="C4" s="18" t="s">
        <v>24</v>
      </c>
      <c r="D4" s="19" t="s">
        <v>186</v>
      </c>
      <c r="E4" s="20">
        <v>1325000000</v>
      </c>
    </row>
    <row r="5" spans="1:6" s="4" customFormat="1" ht="23.25" customHeight="1">
      <c r="A5" s="698" t="s">
        <v>46</v>
      </c>
      <c r="B5" s="700" t="s">
        <v>1</v>
      </c>
      <c r="C5" s="701"/>
      <c r="D5" s="702"/>
      <c r="E5" s="21" t="s">
        <v>28</v>
      </c>
      <c r="F5" s="21" t="s">
        <v>195</v>
      </c>
    </row>
    <row r="6" spans="1:6" s="4" customFormat="1" ht="15" customHeight="1" thickBot="1">
      <c r="A6" s="699"/>
      <c r="B6" s="703"/>
      <c r="C6" s="704"/>
      <c r="D6" s="705"/>
      <c r="E6" s="22" t="s">
        <v>29</v>
      </c>
      <c r="F6" s="22" t="s">
        <v>196</v>
      </c>
    </row>
    <row r="7" spans="1:6" ht="19" thickTop="1" thickBot="1">
      <c r="A7" s="23"/>
      <c r="B7" s="76"/>
      <c r="C7" s="24"/>
      <c r="D7" s="25"/>
      <c r="E7" s="26"/>
    </row>
    <row r="8" spans="1:6">
      <c r="A8" s="77" t="s">
        <v>2</v>
      </c>
      <c r="B8" s="78" t="str">
        <f>BOQ!B9</f>
        <v>PEKERJAAN PERSIAPAN</v>
      </c>
      <c r="C8" s="29"/>
      <c r="D8" s="30"/>
      <c r="E8" s="31">
        <v>52576837.350000001</v>
      </c>
      <c r="F8" s="183">
        <f>E8/$E$18</f>
        <v>3.7389544409758869E-2</v>
      </c>
    </row>
    <row r="9" spans="1:6">
      <c r="A9" s="77" t="s">
        <v>4</v>
      </c>
      <c r="B9" s="78" t="s">
        <v>5</v>
      </c>
      <c r="C9" s="32"/>
      <c r="D9" s="33"/>
      <c r="E9" s="31">
        <v>8088203.8862499995</v>
      </c>
      <c r="F9" s="184">
        <f t="shared" ref="F9:F17" si="0">E9/$E$18</f>
        <v>5.7518533567734393E-3</v>
      </c>
    </row>
    <row r="10" spans="1:6">
      <c r="A10" s="77" t="s">
        <v>6</v>
      </c>
      <c r="B10" s="78" t="str">
        <f>BOQ!B62</f>
        <v>PEKERJAAN BETON</v>
      </c>
      <c r="C10" s="32"/>
      <c r="D10" s="34"/>
      <c r="E10" s="31">
        <v>502717612.41289997</v>
      </c>
      <c r="F10" s="184">
        <f t="shared" si="0"/>
        <v>0.35750310293017407</v>
      </c>
    </row>
    <row r="11" spans="1:6" s="5" customFormat="1">
      <c r="A11" s="77" t="s">
        <v>8</v>
      </c>
      <c r="B11" s="78" t="s">
        <v>157</v>
      </c>
      <c r="C11" s="35"/>
      <c r="D11" s="36"/>
      <c r="E11" s="37">
        <v>224473829.90625</v>
      </c>
      <c r="F11" s="184">
        <f t="shared" si="0"/>
        <v>0.15963254267724403</v>
      </c>
    </row>
    <row r="12" spans="1:6" s="5" customFormat="1">
      <c r="A12" s="77" t="s">
        <v>9</v>
      </c>
      <c r="B12" s="78" t="s">
        <v>43</v>
      </c>
      <c r="C12" s="35"/>
      <c r="D12" s="36"/>
      <c r="E12" s="37">
        <v>240978677.02000001</v>
      </c>
      <c r="F12" s="184">
        <f t="shared" si="0"/>
        <v>0.17136981607061669</v>
      </c>
    </row>
    <row r="13" spans="1:6" s="5" customFormat="1">
      <c r="A13" s="77" t="s">
        <v>10</v>
      </c>
      <c r="B13" s="125" t="s">
        <v>183</v>
      </c>
      <c r="C13" s="35"/>
      <c r="D13" s="36"/>
      <c r="E13" s="37">
        <v>15700000</v>
      </c>
      <c r="F13" s="184">
        <f t="shared" si="0"/>
        <v>1.1164913616342012E-2</v>
      </c>
    </row>
    <row r="14" spans="1:6" s="5" customFormat="1">
      <c r="A14" s="77" t="s">
        <v>21</v>
      </c>
      <c r="B14" s="78" t="s">
        <v>12</v>
      </c>
      <c r="C14" s="35"/>
      <c r="D14" s="36"/>
      <c r="E14" s="37">
        <v>51573270</v>
      </c>
      <c r="F14" s="184">
        <f t="shared" si="0"/>
        <v>3.6675866526260065E-2</v>
      </c>
    </row>
    <row r="15" spans="1:6" s="5" customFormat="1">
      <c r="A15" s="77" t="s">
        <v>22</v>
      </c>
      <c r="B15" s="78" t="s">
        <v>20</v>
      </c>
      <c r="C15" s="35"/>
      <c r="D15" s="36"/>
      <c r="E15" s="37">
        <v>153268916</v>
      </c>
      <c r="F15" s="184">
        <f t="shared" si="0"/>
        <v>0.10899580937645732</v>
      </c>
    </row>
    <row r="16" spans="1:6" s="5" customFormat="1">
      <c r="A16" s="77" t="s">
        <v>11</v>
      </c>
      <c r="B16" s="78" t="s">
        <v>192</v>
      </c>
      <c r="C16" s="35"/>
      <c r="D16" s="36"/>
      <c r="E16" s="38">
        <v>26703560</v>
      </c>
      <c r="F16" s="184">
        <f t="shared" si="0"/>
        <v>1.8989996219669167E-2</v>
      </c>
    </row>
    <row r="17" spans="1:8" s="5" customFormat="1" ht="16" thickBot="1">
      <c r="A17" s="77" t="s">
        <v>31</v>
      </c>
      <c r="B17" s="78" t="s">
        <v>44</v>
      </c>
      <c r="C17" s="35"/>
      <c r="D17" s="36"/>
      <c r="E17" s="39">
        <v>130110000</v>
      </c>
      <c r="F17" s="185">
        <f t="shared" si="0"/>
        <v>9.2526554816704409E-2</v>
      </c>
    </row>
    <row r="18" spans="1:8" s="5" customFormat="1" ht="18">
      <c r="A18" s="27"/>
      <c r="B18" s="28"/>
      <c r="C18" s="35"/>
      <c r="D18" s="40" t="s">
        <v>45</v>
      </c>
      <c r="E18" s="178">
        <f>SUM(E8:E17)</f>
        <v>1406190906.5753999</v>
      </c>
    </row>
    <row r="19" spans="1:8" s="5" customFormat="1">
      <c r="A19" s="41"/>
      <c r="B19" s="35"/>
      <c r="C19" s="35"/>
      <c r="D19" s="126" t="s">
        <v>193</v>
      </c>
      <c r="E19" s="179">
        <f>E18*2%</f>
        <v>28123818.131507996</v>
      </c>
    </row>
    <row r="20" spans="1:8" s="6" customFormat="1" ht="16" thickBot="1">
      <c r="A20" s="42"/>
      <c r="B20" s="43"/>
      <c r="C20" s="43"/>
      <c r="D20" s="44"/>
      <c r="E20" s="180"/>
    </row>
    <row r="21" spans="1:8" s="7" customFormat="1" ht="22.5" customHeight="1">
      <c r="A21" s="45"/>
      <c r="B21" s="46"/>
      <c r="C21" s="46"/>
      <c r="D21" s="47"/>
      <c r="E21" s="181">
        <f>E18+E19</f>
        <v>1434314724.706908</v>
      </c>
    </row>
    <row r="22" spans="1:8" s="8" customFormat="1" ht="24.75" customHeight="1" thickBot="1">
      <c r="A22" s="48"/>
      <c r="B22" s="49"/>
      <c r="C22" s="49"/>
      <c r="D22" s="50" t="s">
        <v>36</v>
      </c>
      <c r="E22" s="182">
        <f>ROUND(E21,-6)</f>
        <v>1434000000</v>
      </c>
      <c r="H22" s="80"/>
    </row>
    <row r="23" spans="1:8" s="7" customFormat="1" ht="15" customHeight="1">
      <c r="A23" s="51"/>
      <c r="B23" s="51"/>
      <c r="C23" s="51"/>
      <c r="D23" s="52"/>
      <c r="E23" s="53"/>
    </row>
    <row r="24" spans="1:8" s="25" customFormat="1" ht="17.25" customHeight="1">
      <c r="A24" s="24"/>
      <c r="B24" s="81"/>
      <c r="C24" s="24"/>
      <c r="D24" s="82"/>
      <c r="E24" s="54"/>
    </row>
    <row r="25" spans="1:8" s="25" customFormat="1">
      <c r="A25" s="24"/>
      <c r="B25" s="24"/>
      <c r="C25" s="24"/>
      <c r="E25" s="54"/>
    </row>
    <row r="26" spans="1:8" s="25" customFormat="1">
      <c r="A26" s="24"/>
      <c r="B26" s="24"/>
      <c r="C26" s="24"/>
      <c r="E26" s="54"/>
    </row>
  </sheetData>
  <mergeCells count="2">
    <mergeCell ref="A5:A6"/>
    <mergeCell ref="B5:D6"/>
  </mergeCells>
  <printOptions horizontalCentered="1"/>
  <pageMargins left="0" right="0" top="1" bottom="0" header="0" footer="0"/>
  <pageSetup paperSize="9" scale="75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1"/>
  <sheetViews>
    <sheetView view="pageBreakPreview" topLeftCell="E1" zoomScale="85" zoomScaleNormal="70" zoomScaleSheetLayoutView="85" workbookViewId="0">
      <selection activeCell="L151" sqref="L151"/>
    </sheetView>
  </sheetViews>
  <sheetFormatPr defaultRowHeight="15.5"/>
  <cols>
    <col min="1" max="1" width="6.08984375" style="57" customWidth="1"/>
    <col min="2" max="2" width="11.54296875" style="57" customWidth="1"/>
    <col min="3" max="3" width="2.08984375" style="57" customWidth="1"/>
    <col min="4" max="4" width="70.1796875" style="65" customWidth="1"/>
    <col min="5" max="5" width="13.6328125" style="66" customWidth="1"/>
    <col min="6" max="6" width="6.81640625" style="57" bestFit="1" customWidth="1"/>
    <col min="7" max="7" width="31.08984375" style="67" customWidth="1"/>
    <col min="8" max="8" width="28.36328125" style="67" customWidth="1"/>
    <col min="9" max="9" width="21.90625" style="67" customWidth="1"/>
    <col min="10" max="10" width="32.1796875" style="67" customWidth="1"/>
    <col min="11" max="11" width="27.90625" style="67" customWidth="1"/>
    <col min="12" max="12" width="33.08984375" style="67" customWidth="1"/>
    <col min="13" max="13" width="16.81640625" style="55" customWidth="1"/>
    <col min="14" max="14" width="12.1796875" style="55" customWidth="1"/>
    <col min="15" max="15" width="11.81640625" style="55" customWidth="1"/>
    <col min="16" max="16" width="14.1796875" style="55" customWidth="1"/>
    <col min="17" max="17" width="22.54296875" style="55" customWidth="1"/>
    <col min="18" max="18" width="27.54296875" style="55" customWidth="1"/>
    <col min="19" max="19" width="9.08984375" style="221"/>
    <col min="20" max="190" width="9.08984375" style="55"/>
    <col min="191" max="191" width="7.54296875" style="55" customWidth="1"/>
    <col min="192" max="192" width="59.54296875" style="55" customWidth="1"/>
    <col min="193" max="193" width="11.453125" style="55" customWidth="1"/>
    <col min="194" max="194" width="7.08984375" style="55" bestFit="1" customWidth="1"/>
    <col min="195" max="196" width="19.36328125" style="55" customWidth="1"/>
    <col min="197" max="197" width="17.36328125" style="55" customWidth="1"/>
    <col min="198" max="198" width="22.453125" style="55" bestFit="1" customWidth="1"/>
    <col min="199" max="199" width="20.36328125" style="55" customWidth="1"/>
    <col min="200" max="200" width="21" style="55" customWidth="1"/>
    <col min="201" max="446" width="9.08984375" style="55"/>
    <col min="447" max="447" width="7.54296875" style="55" customWidth="1"/>
    <col min="448" max="448" width="59.54296875" style="55" customWidth="1"/>
    <col min="449" max="449" width="11.453125" style="55" customWidth="1"/>
    <col min="450" max="450" width="7.08984375" style="55" bestFit="1" customWidth="1"/>
    <col min="451" max="452" width="19.36328125" style="55" customWidth="1"/>
    <col min="453" max="453" width="17.36328125" style="55" customWidth="1"/>
    <col min="454" max="454" width="22.453125" style="55" bestFit="1" customWidth="1"/>
    <col min="455" max="455" width="20.36328125" style="55" customWidth="1"/>
    <col min="456" max="456" width="21" style="55" customWidth="1"/>
    <col min="457" max="702" width="9.08984375" style="55"/>
    <col min="703" max="703" width="7.54296875" style="55" customWidth="1"/>
    <col min="704" max="704" width="59.54296875" style="55" customWidth="1"/>
    <col min="705" max="705" width="11.453125" style="55" customWidth="1"/>
    <col min="706" max="706" width="7.08984375" style="55" bestFit="1" customWidth="1"/>
    <col min="707" max="708" width="19.36328125" style="55" customWidth="1"/>
    <col min="709" max="709" width="17.36328125" style="55" customWidth="1"/>
    <col min="710" max="710" width="22.453125" style="55" bestFit="1" customWidth="1"/>
    <col min="711" max="711" width="20.36328125" style="55" customWidth="1"/>
    <col min="712" max="712" width="21" style="55" customWidth="1"/>
    <col min="713" max="958" width="9.08984375" style="55"/>
    <col min="959" max="959" width="7.54296875" style="55" customWidth="1"/>
    <col min="960" max="960" width="59.54296875" style="55" customWidth="1"/>
    <col min="961" max="961" width="11.453125" style="55" customWidth="1"/>
    <col min="962" max="962" width="7.08984375" style="55" bestFit="1" customWidth="1"/>
    <col min="963" max="964" width="19.36328125" style="55" customWidth="1"/>
    <col min="965" max="965" width="17.36328125" style="55" customWidth="1"/>
    <col min="966" max="966" width="22.453125" style="55" bestFit="1" customWidth="1"/>
    <col min="967" max="967" width="20.36328125" style="55" customWidth="1"/>
    <col min="968" max="968" width="21" style="55" customWidth="1"/>
    <col min="969" max="1214" width="9.08984375" style="55"/>
    <col min="1215" max="1215" width="7.54296875" style="55" customWidth="1"/>
    <col min="1216" max="1216" width="59.54296875" style="55" customWidth="1"/>
    <col min="1217" max="1217" width="11.453125" style="55" customWidth="1"/>
    <col min="1218" max="1218" width="7.08984375" style="55" bestFit="1" customWidth="1"/>
    <col min="1219" max="1220" width="19.36328125" style="55" customWidth="1"/>
    <col min="1221" max="1221" width="17.36328125" style="55" customWidth="1"/>
    <col min="1222" max="1222" width="22.453125" style="55" bestFit="1" customWidth="1"/>
    <col min="1223" max="1223" width="20.36328125" style="55" customWidth="1"/>
    <col min="1224" max="1224" width="21" style="55" customWidth="1"/>
    <col min="1225" max="1470" width="9.08984375" style="55"/>
    <col min="1471" max="1471" width="7.54296875" style="55" customWidth="1"/>
    <col min="1472" max="1472" width="59.54296875" style="55" customWidth="1"/>
    <col min="1473" max="1473" width="11.453125" style="55" customWidth="1"/>
    <col min="1474" max="1474" width="7.08984375" style="55" bestFit="1" customWidth="1"/>
    <col min="1475" max="1476" width="19.36328125" style="55" customWidth="1"/>
    <col min="1477" max="1477" width="17.36328125" style="55" customWidth="1"/>
    <col min="1478" max="1478" width="22.453125" style="55" bestFit="1" customWidth="1"/>
    <col min="1479" max="1479" width="20.36328125" style="55" customWidth="1"/>
    <col min="1480" max="1480" width="21" style="55" customWidth="1"/>
    <col min="1481" max="1726" width="9.08984375" style="55"/>
    <col min="1727" max="1727" width="7.54296875" style="55" customWidth="1"/>
    <col min="1728" max="1728" width="59.54296875" style="55" customWidth="1"/>
    <col min="1729" max="1729" width="11.453125" style="55" customWidth="1"/>
    <col min="1730" max="1730" width="7.08984375" style="55" bestFit="1" customWidth="1"/>
    <col min="1731" max="1732" width="19.36328125" style="55" customWidth="1"/>
    <col min="1733" max="1733" width="17.36328125" style="55" customWidth="1"/>
    <col min="1734" max="1734" width="22.453125" style="55" bestFit="1" customWidth="1"/>
    <col min="1735" max="1735" width="20.36328125" style="55" customWidth="1"/>
    <col min="1736" max="1736" width="21" style="55" customWidth="1"/>
    <col min="1737" max="1982" width="9.08984375" style="55"/>
    <col min="1983" max="1983" width="7.54296875" style="55" customWidth="1"/>
    <col min="1984" max="1984" width="59.54296875" style="55" customWidth="1"/>
    <col min="1985" max="1985" width="11.453125" style="55" customWidth="1"/>
    <col min="1986" max="1986" width="7.08984375" style="55" bestFit="1" customWidth="1"/>
    <col min="1987" max="1988" width="19.36328125" style="55" customWidth="1"/>
    <col min="1989" max="1989" width="17.36328125" style="55" customWidth="1"/>
    <col min="1990" max="1990" width="22.453125" style="55" bestFit="1" customWidth="1"/>
    <col min="1991" max="1991" width="20.36328125" style="55" customWidth="1"/>
    <col min="1992" max="1992" width="21" style="55" customWidth="1"/>
    <col min="1993" max="2238" width="9.08984375" style="55"/>
    <col min="2239" max="2239" width="7.54296875" style="55" customWidth="1"/>
    <col min="2240" max="2240" width="59.54296875" style="55" customWidth="1"/>
    <col min="2241" max="2241" width="11.453125" style="55" customWidth="1"/>
    <col min="2242" max="2242" width="7.08984375" style="55" bestFit="1" customWidth="1"/>
    <col min="2243" max="2244" width="19.36328125" style="55" customWidth="1"/>
    <col min="2245" max="2245" width="17.36328125" style="55" customWidth="1"/>
    <col min="2246" max="2246" width="22.453125" style="55" bestFit="1" customWidth="1"/>
    <col min="2247" max="2247" width="20.36328125" style="55" customWidth="1"/>
    <col min="2248" max="2248" width="21" style="55" customWidth="1"/>
    <col min="2249" max="2494" width="9.08984375" style="55"/>
    <col min="2495" max="2495" width="7.54296875" style="55" customWidth="1"/>
    <col min="2496" max="2496" width="59.54296875" style="55" customWidth="1"/>
    <col min="2497" max="2497" width="11.453125" style="55" customWidth="1"/>
    <col min="2498" max="2498" width="7.08984375" style="55" bestFit="1" customWidth="1"/>
    <col min="2499" max="2500" width="19.36328125" style="55" customWidth="1"/>
    <col min="2501" max="2501" width="17.36328125" style="55" customWidth="1"/>
    <col min="2502" max="2502" width="22.453125" style="55" bestFit="1" customWidth="1"/>
    <col min="2503" max="2503" width="20.36328125" style="55" customWidth="1"/>
    <col min="2504" max="2504" width="21" style="55" customWidth="1"/>
    <col min="2505" max="2750" width="9.08984375" style="55"/>
    <col min="2751" max="2751" width="7.54296875" style="55" customWidth="1"/>
    <col min="2752" max="2752" width="59.54296875" style="55" customWidth="1"/>
    <col min="2753" max="2753" width="11.453125" style="55" customWidth="1"/>
    <col min="2754" max="2754" width="7.08984375" style="55" bestFit="1" customWidth="1"/>
    <col min="2755" max="2756" width="19.36328125" style="55" customWidth="1"/>
    <col min="2757" max="2757" width="17.36328125" style="55" customWidth="1"/>
    <col min="2758" max="2758" width="22.453125" style="55" bestFit="1" customWidth="1"/>
    <col min="2759" max="2759" width="20.36328125" style="55" customWidth="1"/>
    <col min="2760" max="2760" width="21" style="55" customWidth="1"/>
    <col min="2761" max="3006" width="9.08984375" style="55"/>
    <col min="3007" max="3007" width="7.54296875" style="55" customWidth="1"/>
    <col min="3008" max="3008" width="59.54296875" style="55" customWidth="1"/>
    <col min="3009" max="3009" width="11.453125" style="55" customWidth="1"/>
    <col min="3010" max="3010" width="7.08984375" style="55" bestFit="1" customWidth="1"/>
    <col min="3011" max="3012" width="19.36328125" style="55" customWidth="1"/>
    <col min="3013" max="3013" width="17.36328125" style="55" customWidth="1"/>
    <col min="3014" max="3014" width="22.453125" style="55" bestFit="1" customWidth="1"/>
    <col min="3015" max="3015" width="20.36328125" style="55" customWidth="1"/>
    <col min="3016" max="3016" width="21" style="55" customWidth="1"/>
    <col min="3017" max="3262" width="9.08984375" style="55"/>
    <col min="3263" max="3263" width="7.54296875" style="55" customWidth="1"/>
    <col min="3264" max="3264" width="59.54296875" style="55" customWidth="1"/>
    <col min="3265" max="3265" width="11.453125" style="55" customWidth="1"/>
    <col min="3266" max="3266" width="7.08984375" style="55" bestFit="1" customWidth="1"/>
    <col min="3267" max="3268" width="19.36328125" style="55" customWidth="1"/>
    <col min="3269" max="3269" width="17.36328125" style="55" customWidth="1"/>
    <col min="3270" max="3270" width="22.453125" style="55" bestFit="1" customWidth="1"/>
    <col min="3271" max="3271" width="20.36328125" style="55" customWidth="1"/>
    <col min="3272" max="3272" width="21" style="55" customWidth="1"/>
    <col min="3273" max="3518" width="9.08984375" style="55"/>
    <col min="3519" max="3519" width="7.54296875" style="55" customWidth="1"/>
    <col min="3520" max="3520" width="59.54296875" style="55" customWidth="1"/>
    <col min="3521" max="3521" width="11.453125" style="55" customWidth="1"/>
    <col min="3522" max="3522" width="7.08984375" style="55" bestFit="1" customWidth="1"/>
    <col min="3523" max="3524" width="19.36328125" style="55" customWidth="1"/>
    <col min="3525" max="3525" width="17.36328125" style="55" customWidth="1"/>
    <col min="3526" max="3526" width="22.453125" style="55" bestFit="1" customWidth="1"/>
    <col min="3527" max="3527" width="20.36328125" style="55" customWidth="1"/>
    <col min="3528" max="3528" width="21" style="55" customWidth="1"/>
    <col min="3529" max="3774" width="9.08984375" style="55"/>
    <col min="3775" max="3775" width="7.54296875" style="55" customWidth="1"/>
    <col min="3776" max="3776" width="59.54296875" style="55" customWidth="1"/>
    <col min="3777" max="3777" width="11.453125" style="55" customWidth="1"/>
    <col min="3778" max="3778" width="7.08984375" style="55" bestFit="1" customWidth="1"/>
    <col min="3779" max="3780" width="19.36328125" style="55" customWidth="1"/>
    <col min="3781" max="3781" width="17.36328125" style="55" customWidth="1"/>
    <col min="3782" max="3782" width="22.453125" style="55" bestFit="1" customWidth="1"/>
    <col min="3783" max="3783" width="20.36328125" style="55" customWidth="1"/>
    <col min="3784" max="3784" width="21" style="55" customWidth="1"/>
    <col min="3785" max="4030" width="9.08984375" style="55"/>
    <col min="4031" max="4031" width="7.54296875" style="55" customWidth="1"/>
    <col min="4032" max="4032" width="59.54296875" style="55" customWidth="1"/>
    <col min="4033" max="4033" width="11.453125" style="55" customWidth="1"/>
    <col min="4034" max="4034" width="7.08984375" style="55" bestFit="1" customWidth="1"/>
    <col min="4035" max="4036" width="19.36328125" style="55" customWidth="1"/>
    <col min="4037" max="4037" width="17.36328125" style="55" customWidth="1"/>
    <col min="4038" max="4038" width="22.453125" style="55" bestFit="1" customWidth="1"/>
    <col min="4039" max="4039" width="20.36328125" style="55" customWidth="1"/>
    <col min="4040" max="4040" width="21" style="55" customWidth="1"/>
    <col min="4041" max="4286" width="9.08984375" style="55"/>
    <col min="4287" max="4287" width="7.54296875" style="55" customWidth="1"/>
    <col min="4288" max="4288" width="59.54296875" style="55" customWidth="1"/>
    <col min="4289" max="4289" width="11.453125" style="55" customWidth="1"/>
    <col min="4290" max="4290" width="7.08984375" style="55" bestFit="1" customWidth="1"/>
    <col min="4291" max="4292" width="19.36328125" style="55" customWidth="1"/>
    <col min="4293" max="4293" width="17.36328125" style="55" customWidth="1"/>
    <col min="4294" max="4294" width="22.453125" style="55" bestFit="1" customWidth="1"/>
    <col min="4295" max="4295" width="20.36328125" style="55" customWidth="1"/>
    <col min="4296" max="4296" width="21" style="55" customWidth="1"/>
    <col min="4297" max="4542" width="9.08984375" style="55"/>
    <col min="4543" max="4543" width="7.54296875" style="55" customWidth="1"/>
    <col min="4544" max="4544" width="59.54296875" style="55" customWidth="1"/>
    <col min="4545" max="4545" width="11.453125" style="55" customWidth="1"/>
    <col min="4546" max="4546" width="7.08984375" style="55" bestFit="1" customWidth="1"/>
    <col min="4547" max="4548" width="19.36328125" style="55" customWidth="1"/>
    <col min="4549" max="4549" width="17.36328125" style="55" customWidth="1"/>
    <col min="4550" max="4550" width="22.453125" style="55" bestFit="1" customWidth="1"/>
    <col min="4551" max="4551" width="20.36328125" style="55" customWidth="1"/>
    <col min="4552" max="4552" width="21" style="55" customWidth="1"/>
    <col min="4553" max="4798" width="9.08984375" style="55"/>
    <col min="4799" max="4799" width="7.54296875" style="55" customWidth="1"/>
    <col min="4800" max="4800" width="59.54296875" style="55" customWidth="1"/>
    <col min="4801" max="4801" width="11.453125" style="55" customWidth="1"/>
    <col min="4802" max="4802" width="7.08984375" style="55" bestFit="1" customWidth="1"/>
    <col min="4803" max="4804" width="19.36328125" style="55" customWidth="1"/>
    <col min="4805" max="4805" width="17.36328125" style="55" customWidth="1"/>
    <col min="4806" max="4806" width="22.453125" style="55" bestFit="1" customWidth="1"/>
    <col min="4807" max="4807" width="20.36328125" style="55" customWidth="1"/>
    <col min="4808" max="4808" width="21" style="55" customWidth="1"/>
    <col min="4809" max="5054" width="9.08984375" style="55"/>
    <col min="5055" max="5055" width="7.54296875" style="55" customWidth="1"/>
    <col min="5056" max="5056" width="59.54296875" style="55" customWidth="1"/>
    <col min="5057" max="5057" width="11.453125" style="55" customWidth="1"/>
    <col min="5058" max="5058" width="7.08984375" style="55" bestFit="1" customWidth="1"/>
    <col min="5059" max="5060" width="19.36328125" style="55" customWidth="1"/>
    <col min="5061" max="5061" width="17.36328125" style="55" customWidth="1"/>
    <col min="5062" max="5062" width="22.453125" style="55" bestFit="1" customWidth="1"/>
    <col min="5063" max="5063" width="20.36328125" style="55" customWidth="1"/>
    <col min="5064" max="5064" width="21" style="55" customWidth="1"/>
    <col min="5065" max="5310" width="9.08984375" style="55"/>
    <col min="5311" max="5311" width="7.54296875" style="55" customWidth="1"/>
    <col min="5312" max="5312" width="59.54296875" style="55" customWidth="1"/>
    <col min="5313" max="5313" width="11.453125" style="55" customWidth="1"/>
    <col min="5314" max="5314" width="7.08984375" style="55" bestFit="1" customWidth="1"/>
    <col min="5315" max="5316" width="19.36328125" style="55" customWidth="1"/>
    <col min="5317" max="5317" width="17.36328125" style="55" customWidth="1"/>
    <col min="5318" max="5318" width="22.453125" style="55" bestFit="1" customWidth="1"/>
    <col min="5319" max="5319" width="20.36328125" style="55" customWidth="1"/>
    <col min="5320" max="5320" width="21" style="55" customWidth="1"/>
    <col min="5321" max="5566" width="9.08984375" style="55"/>
    <col min="5567" max="5567" width="7.54296875" style="55" customWidth="1"/>
    <col min="5568" max="5568" width="59.54296875" style="55" customWidth="1"/>
    <col min="5569" max="5569" width="11.453125" style="55" customWidth="1"/>
    <col min="5570" max="5570" width="7.08984375" style="55" bestFit="1" customWidth="1"/>
    <col min="5571" max="5572" width="19.36328125" style="55" customWidth="1"/>
    <col min="5573" max="5573" width="17.36328125" style="55" customWidth="1"/>
    <col min="5574" max="5574" width="22.453125" style="55" bestFit="1" customWidth="1"/>
    <col min="5575" max="5575" width="20.36328125" style="55" customWidth="1"/>
    <col min="5576" max="5576" width="21" style="55" customWidth="1"/>
    <col min="5577" max="5822" width="9.08984375" style="55"/>
    <col min="5823" max="5823" width="7.54296875" style="55" customWidth="1"/>
    <col min="5824" max="5824" width="59.54296875" style="55" customWidth="1"/>
    <col min="5825" max="5825" width="11.453125" style="55" customWidth="1"/>
    <col min="5826" max="5826" width="7.08984375" style="55" bestFit="1" customWidth="1"/>
    <col min="5827" max="5828" width="19.36328125" style="55" customWidth="1"/>
    <col min="5829" max="5829" width="17.36328125" style="55" customWidth="1"/>
    <col min="5830" max="5830" width="22.453125" style="55" bestFit="1" customWidth="1"/>
    <col min="5831" max="5831" width="20.36328125" style="55" customWidth="1"/>
    <col min="5832" max="5832" width="21" style="55" customWidth="1"/>
    <col min="5833" max="6078" width="9.08984375" style="55"/>
    <col min="6079" max="6079" width="7.54296875" style="55" customWidth="1"/>
    <col min="6080" max="6080" width="59.54296875" style="55" customWidth="1"/>
    <col min="6081" max="6081" width="11.453125" style="55" customWidth="1"/>
    <col min="6082" max="6082" width="7.08984375" style="55" bestFit="1" customWidth="1"/>
    <col min="6083" max="6084" width="19.36328125" style="55" customWidth="1"/>
    <col min="6085" max="6085" width="17.36328125" style="55" customWidth="1"/>
    <col min="6086" max="6086" width="22.453125" style="55" bestFit="1" customWidth="1"/>
    <col min="6087" max="6087" width="20.36328125" style="55" customWidth="1"/>
    <col min="6088" max="6088" width="21" style="55" customWidth="1"/>
    <col min="6089" max="6334" width="9.08984375" style="55"/>
    <col min="6335" max="6335" width="7.54296875" style="55" customWidth="1"/>
    <col min="6336" max="6336" width="59.54296875" style="55" customWidth="1"/>
    <col min="6337" max="6337" width="11.453125" style="55" customWidth="1"/>
    <col min="6338" max="6338" width="7.08984375" style="55" bestFit="1" customWidth="1"/>
    <col min="6339" max="6340" width="19.36328125" style="55" customWidth="1"/>
    <col min="6341" max="6341" width="17.36328125" style="55" customWidth="1"/>
    <col min="6342" max="6342" width="22.453125" style="55" bestFit="1" customWidth="1"/>
    <col min="6343" max="6343" width="20.36328125" style="55" customWidth="1"/>
    <col min="6344" max="6344" width="21" style="55" customWidth="1"/>
    <col min="6345" max="6590" width="9.08984375" style="55"/>
    <col min="6591" max="6591" width="7.54296875" style="55" customWidth="1"/>
    <col min="6592" max="6592" width="59.54296875" style="55" customWidth="1"/>
    <col min="6593" max="6593" width="11.453125" style="55" customWidth="1"/>
    <col min="6594" max="6594" width="7.08984375" style="55" bestFit="1" customWidth="1"/>
    <col min="6595" max="6596" width="19.36328125" style="55" customWidth="1"/>
    <col min="6597" max="6597" width="17.36328125" style="55" customWidth="1"/>
    <col min="6598" max="6598" width="22.453125" style="55" bestFit="1" customWidth="1"/>
    <col min="6599" max="6599" width="20.36328125" style="55" customWidth="1"/>
    <col min="6600" max="6600" width="21" style="55" customWidth="1"/>
    <col min="6601" max="6846" width="9.08984375" style="55"/>
    <col min="6847" max="6847" width="7.54296875" style="55" customWidth="1"/>
    <col min="6848" max="6848" width="59.54296875" style="55" customWidth="1"/>
    <col min="6849" max="6849" width="11.453125" style="55" customWidth="1"/>
    <col min="6850" max="6850" width="7.08984375" style="55" bestFit="1" customWidth="1"/>
    <col min="6851" max="6852" width="19.36328125" style="55" customWidth="1"/>
    <col min="6853" max="6853" width="17.36328125" style="55" customWidth="1"/>
    <col min="6854" max="6854" width="22.453125" style="55" bestFit="1" customWidth="1"/>
    <col min="6855" max="6855" width="20.36328125" style="55" customWidth="1"/>
    <col min="6856" max="6856" width="21" style="55" customWidth="1"/>
    <col min="6857" max="7102" width="9.08984375" style="55"/>
    <col min="7103" max="7103" width="7.54296875" style="55" customWidth="1"/>
    <col min="7104" max="7104" width="59.54296875" style="55" customWidth="1"/>
    <col min="7105" max="7105" width="11.453125" style="55" customWidth="1"/>
    <col min="7106" max="7106" width="7.08984375" style="55" bestFit="1" customWidth="1"/>
    <col min="7107" max="7108" width="19.36328125" style="55" customWidth="1"/>
    <col min="7109" max="7109" width="17.36328125" style="55" customWidth="1"/>
    <col min="7110" max="7110" width="22.453125" style="55" bestFit="1" customWidth="1"/>
    <col min="7111" max="7111" width="20.36328125" style="55" customWidth="1"/>
    <col min="7112" max="7112" width="21" style="55" customWidth="1"/>
    <col min="7113" max="7358" width="9.08984375" style="55"/>
    <col min="7359" max="7359" width="7.54296875" style="55" customWidth="1"/>
    <col min="7360" max="7360" width="59.54296875" style="55" customWidth="1"/>
    <col min="7361" max="7361" width="11.453125" style="55" customWidth="1"/>
    <col min="7362" max="7362" width="7.08984375" style="55" bestFit="1" customWidth="1"/>
    <col min="7363" max="7364" width="19.36328125" style="55" customWidth="1"/>
    <col min="7365" max="7365" width="17.36328125" style="55" customWidth="1"/>
    <col min="7366" max="7366" width="22.453125" style="55" bestFit="1" customWidth="1"/>
    <col min="7367" max="7367" width="20.36328125" style="55" customWidth="1"/>
    <col min="7368" max="7368" width="21" style="55" customWidth="1"/>
    <col min="7369" max="7614" width="9.08984375" style="55"/>
    <col min="7615" max="7615" width="7.54296875" style="55" customWidth="1"/>
    <col min="7616" max="7616" width="59.54296875" style="55" customWidth="1"/>
    <col min="7617" max="7617" width="11.453125" style="55" customWidth="1"/>
    <col min="7618" max="7618" width="7.08984375" style="55" bestFit="1" customWidth="1"/>
    <col min="7619" max="7620" width="19.36328125" style="55" customWidth="1"/>
    <col min="7621" max="7621" width="17.36328125" style="55" customWidth="1"/>
    <col min="7622" max="7622" width="22.453125" style="55" bestFit="1" customWidth="1"/>
    <col min="7623" max="7623" width="20.36328125" style="55" customWidth="1"/>
    <col min="7624" max="7624" width="21" style="55" customWidth="1"/>
    <col min="7625" max="7870" width="9.08984375" style="55"/>
    <col min="7871" max="7871" width="7.54296875" style="55" customWidth="1"/>
    <col min="7872" max="7872" width="59.54296875" style="55" customWidth="1"/>
    <col min="7873" max="7873" width="11.453125" style="55" customWidth="1"/>
    <col min="7874" max="7874" width="7.08984375" style="55" bestFit="1" customWidth="1"/>
    <col min="7875" max="7876" width="19.36328125" style="55" customWidth="1"/>
    <col min="7877" max="7877" width="17.36328125" style="55" customWidth="1"/>
    <col min="7878" max="7878" width="22.453125" style="55" bestFit="1" customWidth="1"/>
    <col min="7879" max="7879" width="20.36328125" style="55" customWidth="1"/>
    <col min="7880" max="7880" width="21" style="55" customWidth="1"/>
    <col min="7881" max="8126" width="9.08984375" style="55"/>
    <col min="8127" max="8127" width="7.54296875" style="55" customWidth="1"/>
    <col min="8128" max="8128" width="59.54296875" style="55" customWidth="1"/>
    <col min="8129" max="8129" width="11.453125" style="55" customWidth="1"/>
    <col min="8130" max="8130" width="7.08984375" style="55" bestFit="1" customWidth="1"/>
    <col min="8131" max="8132" width="19.36328125" style="55" customWidth="1"/>
    <col min="8133" max="8133" width="17.36328125" style="55" customWidth="1"/>
    <col min="8134" max="8134" width="22.453125" style="55" bestFit="1" customWidth="1"/>
    <col min="8135" max="8135" width="20.36328125" style="55" customWidth="1"/>
    <col min="8136" max="8136" width="21" style="55" customWidth="1"/>
    <col min="8137" max="8382" width="9.08984375" style="55"/>
    <col min="8383" max="8383" width="7.54296875" style="55" customWidth="1"/>
    <col min="8384" max="8384" width="59.54296875" style="55" customWidth="1"/>
    <col min="8385" max="8385" width="11.453125" style="55" customWidth="1"/>
    <col min="8386" max="8386" width="7.08984375" style="55" bestFit="1" customWidth="1"/>
    <col min="8387" max="8388" width="19.36328125" style="55" customWidth="1"/>
    <col min="8389" max="8389" width="17.36328125" style="55" customWidth="1"/>
    <col min="8390" max="8390" width="22.453125" style="55" bestFit="1" customWidth="1"/>
    <col min="8391" max="8391" width="20.36328125" style="55" customWidth="1"/>
    <col min="8392" max="8392" width="21" style="55" customWidth="1"/>
    <col min="8393" max="8638" width="9.08984375" style="55"/>
    <col min="8639" max="8639" width="7.54296875" style="55" customWidth="1"/>
    <col min="8640" max="8640" width="59.54296875" style="55" customWidth="1"/>
    <col min="8641" max="8641" width="11.453125" style="55" customWidth="1"/>
    <col min="8642" max="8642" width="7.08984375" style="55" bestFit="1" customWidth="1"/>
    <col min="8643" max="8644" width="19.36328125" style="55" customWidth="1"/>
    <col min="8645" max="8645" width="17.36328125" style="55" customWidth="1"/>
    <col min="8646" max="8646" width="22.453125" style="55" bestFit="1" customWidth="1"/>
    <col min="8647" max="8647" width="20.36328125" style="55" customWidth="1"/>
    <col min="8648" max="8648" width="21" style="55" customWidth="1"/>
    <col min="8649" max="8894" width="9.08984375" style="55"/>
    <col min="8895" max="8895" width="7.54296875" style="55" customWidth="1"/>
    <col min="8896" max="8896" width="59.54296875" style="55" customWidth="1"/>
    <col min="8897" max="8897" width="11.453125" style="55" customWidth="1"/>
    <col min="8898" max="8898" width="7.08984375" style="55" bestFit="1" customWidth="1"/>
    <col min="8899" max="8900" width="19.36328125" style="55" customWidth="1"/>
    <col min="8901" max="8901" width="17.36328125" style="55" customWidth="1"/>
    <col min="8902" max="8902" width="22.453125" style="55" bestFit="1" customWidth="1"/>
    <col min="8903" max="8903" width="20.36328125" style="55" customWidth="1"/>
    <col min="8904" max="8904" width="21" style="55" customWidth="1"/>
    <col min="8905" max="9150" width="9.08984375" style="55"/>
    <col min="9151" max="9151" width="7.54296875" style="55" customWidth="1"/>
    <col min="9152" max="9152" width="59.54296875" style="55" customWidth="1"/>
    <col min="9153" max="9153" width="11.453125" style="55" customWidth="1"/>
    <col min="9154" max="9154" width="7.08984375" style="55" bestFit="1" customWidth="1"/>
    <col min="9155" max="9156" width="19.36328125" style="55" customWidth="1"/>
    <col min="9157" max="9157" width="17.36328125" style="55" customWidth="1"/>
    <col min="9158" max="9158" width="22.453125" style="55" bestFit="1" customWidth="1"/>
    <col min="9159" max="9159" width="20.36328125" style="55" customWidth="1"/>
    <col min="9160" max="9160" width="21" style="55" customWidth="1"/>
    <col min="9161" max="9406" width="9.08984375" style="55"/>
    <col min="9407" max="9407" width="7.54296875" style="55" customWidth="1"/>
    <col min="9408" max="9408" width="59.54296875" style="55" customWidth="1"/>
    <col min="9409" max="9409" width="11.453125" style="55" customWidth="1"/>
    <col min="9410" max="9410" width="7.08984375" style="55" bestFit="1" customWidth="1"/>
    <col min="9411" max="9412" width="19.36328125" style="55" customWidth="1"/>
    <col min="9413" max="9413" width="17.36328125" style="55" customWidth="1"/>
    <col min="9414" max="9414" width="22.453125" style="55" bestFit="1" customWidth="1"/>
    <col min="9415" max="9415" width="20.36328125" style="55" customWidth="1"/>
    <col min="9416" max="9416" width="21" style="55" customWidth="1"/>
    <col min="9417" max="9662" width="9.08984375" style="55"/>
    <col min="9663" max="9663" width="7.54296875" style="55" customWidth="1"/>
    <col min="9664" max="9664" width="59.54296875" style="55" customWidth="1"/>
    <col min="9665" max="9665" width="11.453125" style="55" customWidth="1"/>
    <col min="9666" max="9666" width="7.08984375" style="55" bestFit="1" customWidth="1"/>
    <col min="9667" max="9668" width="19.36328125" style="55" customWidth="1"/>
    <col min="9669" max="9669" width="17.36328125" style="55" customWidth="1"/>
    <col min="9670" max="9670" width="22.453125" style="55" bestFit="1" customWidth="1"/>
    <col min="9671" max="9671" width="20.36328125" style="55" customWidth="1"/>
    <col min="9672" max="9672" width="21" style="55" customWidth="1"/>
    <col min="9673" max="9918" width="9.08984375" style="55"/>
    <col min="9919" max="9919" width="7.54296875" style="55" customWidth="1"/>
    <col min="9920" max="9920" width="59.54296875" style="55" customWidth="1"/>
    <col min="9921" max="9921" width="11.453125" style="55" customWidth="1"/>
    <col min="9922" max="9922" width="7.08984375" style="55" bestFit="1" customWidth="1"/>
    <col min="9923" max="9924" width="19.36328125" style="55" customWidth="1"/>
    <col min="9925" max="9925" width="17.36328125" style="55" customWidth="1"/>
    <col min="9926" max="9926" width="22.453125" style="55" bestFit="1" customWidth="1"/>
    <col min="9927" max="9927" width="20.36328125" style="55" customWidth="1"/>
    <col min="9928" max="9928" width="21" style="55" customWidth="1"/>
    <col min="9929" max="10174" width="9.08984375" style="55"/>
    <col min="10175" max="10175" width="7.54296875" style="55" customWidth="1"/>
    <col min="10176" max="10176" width="59.54296875" style="55" customWidth="1"/>
    <col min="10177" max="10177" width="11.453125" style="55" customWidth="1"/>
    <col min="10178" max="10178" width="7.08984375" style="55" bestFit="1" customWidth="1"/>
    <col min="10179" max="10180" width="19.36328125" style="55" customWidth="1"/>
    <col min="10181" max="10181" width="17.36328125" style="55" customWidth="1"/>
    <col min="10182" max="10182" width="22.453125" style="55" bestFit="1" customWidth="1"/>
    <col min="10183" max="10183" width="20.36328125" style="55" customWidth="1"/>
    <col min="10184" max="10184" width="21" style="55" customWidth="1"/>
    <col min="10185" max="10430" width="9.08984375" style="55"/>
    <col min="10431" max="10431" width="7.54296875" style="55" customWidth="1"/>
    <col min="10432" max="10432" width="59.54296875" style="55" customWidth="1"/>
    <col min="10433" max="10433" width="11.453125" style="55" customWidth="1"/>
    <col min="10434" max="10434" width="7.08984375" style="55" bestFit="1" customWidth="1"/>
    <col min="10435" max="10436" width="19.36328125" style="55" customWidth="1"/>
    <col min="10437" max="10437" width="17.36328125" style="55" customWidth="1"/>
    <col min="10438" max="10438" width="22.453125" style="55" bestFit="1" customWidth="1"/>
    <col min="10439" max="10439" width="20.36328125" style="55" customWidth="1"/>
    <col min="10440" max="10440" width="21" style="55" customWidth="1"/>
    <col min="10441" max="10686" width="9.08984375" style="55"/>
    <col min="10687" max="10687" width="7.54296875" style="55" customWidth="1"/>
    <col min="10688" max="10688" width="59.54296875" style="55" customWidth="1"/>
    <col min="10689" max="10689" width="11.453125" style="55" customWidth="1"/>
    <col min="10690" max="10690" width="7.08984375" style="55" bestFit="1" customWidth="1"/>
    <col min="10691" max="10692" width="19.36328125" style="55" customWidth="1"/>
    <col min="10693" max="10693" width="17.36328125" style="55" customWidth="1"/>
    <col min="10694" max="10694" width="22.453125" style="55" bestFit="1" customWidth="1"/>
    <col min="10695" max="10695" width="20.36328125" style="55" customWidth="1"/>
    <col min="10696" max="10696" width="21" style="55" customWidth="1"/>
    <col min="10697" max="10942" width="9.08984375" style="55"/>
    <col min="10943" max="10943" width="7.54296875" style="55" customWidth="1"/>
    <col min="10944" max="10944" width="59.54296875" style="55" customWidth="1"/>
    <col min="10945" max="10945" width="11.453125" style="55" customWidth="1"/>
    <col min="10946" max="10946" width="7.08984375" style="55" bestFit="1" customWidth="1"/>
    <col min="10947" max="10948" width="19.36328125" style="55" customWidth="1"/>
    <col min="10949" max="10949" width="17.36328125" style="55" customWidth="1"/>
    <col min="10950" max="10950" width="22.453125" style="55" bestFit="1" customWidth="1"/>
    <col min="10951" max="10951" width="20.36328125" style="55" customWidth="1"/>
    <col min="10952" max="10952" width="21" style="55" customWidth="1"/>
    <col min="10953" max="11198" width="9.08984375" style="55"/>
    <col min="11199" max="11199" width="7.54296875" style="55" customWidth="1"/>
    <col min="11200" max="11200" width="59.54296875" style="55" customWidth="1"/>
    <col min="11201" max="11201" width="11.453125" style="55" customWidth="1"/>
    <col min="11202" max="11202" width="7.08984375" style="55" bestFit="1" customWidth="1"/>
    <col min="11203" max="11204" width="19.36328125" style="55" customWidth="1"/>
    <col min="11205" max="11205" width="17.36328125" style="55" customWidth="1"/>
    <col min="11206" max="11206" width="22.453125" style="55" bestFit="1" customWidth="1"/>
    <col min="11207" max="11207" width="20.36328125" style="55" customWidth="1"/>
    <col min="11208" max="11208" width="21" style="55" customWidth="1"/>
    <col min="11209" max="11454" width="9.08984375" style="55"/>
    <col min="11455" max="11455" width="7.54296875" style="55" customWidth="1"/>
    <col min="11456" max="11456" width="59.54296875" style="55" customWidth="1"/>
    <col min="11457" max="11457" width="11.453125" style="55" customWidth="1"/>
    <col min="11458" max="11458" width="7.08984375" style="55" bestFit="1" customWidth="1"/>
    <col min="11459" max="11460" width="19.36328125" style="55" customWidth="1"/>
    <col min="11461" max="11461" width="17.36328125" style="55" customWidth="1"/>
    <col min="11462" max="11462" width="22.453125" style="55" bestFit="1" customWidth="1"/>
    <col min="11463" max="11463" width="20.36328125" style="55" customWidth="1"/>
    <col min="11464" max="11464" width="21" style="55" customWidth="1"/>
    <col min="11465" max="11710" width="9.08984375" style="55"/>
    <col min="11711" max="11711" width="7.54296875" style="55" customWidth="1"/>
    <col min="11712" max="11712" width="59.54296875" style="55" customWidth="1"/>
    <col min="11713" max="11713" width="11.453125" style="55" customWidth="1"/>
    <col min="11714" max="11714" width="7.08984375" style="55" bestFit="1" customWidth="1"/>
    <col min="11715" max="11716" width="19.36328125" style="55" customWidth="1"/>
    <col min="11717" max="11717" width="17.36328125" style="55" customWidth="1"/>
    <col min="11718" max="11718" width="22.453125" style="55" bestFit="1" customWidth="1"/>
    <col min="11719" max="11719" width="20.36328125" style="55" customWidth="1"/>
    <col min="11720" max="11720" width="21" style="55" customWidth="1"/>
    <col min="11721" max="11966" width="9.08984375" style="55"/>
    <col min="11967" max="11967" width="7.54296875" style="55" customWidth="1"/>
    <col min="11968" max="11968" width="59.54296875" style="55" customWidth="1"/>
    <col min="11969" max="11969" width="11.453125" style="55" customWidth="1"/>
    <col min="11970" max="11970" width="7.08984375" style="55" bestFit="1" customWidth="1"/>
    <col min="11971" max="11972" width="19.36328125" style="55" customWidth="1"/>
    <col min="11973" max="11973" width="17.36328125" style="55" customWidth="1"/>
    <col min="11974" max="11974" width="22.453125" style="55" bestFit="1" customWidth="1"/>
    <col min="11975" max="11975" width="20.36328125" style="55" customWidth="1"/>
    <col min="11976" max="11976" width="21" style="55" customWidth="1"/>
    <col min="11977" max="12222" width="9.08984375" style="55"/>
    <col min="12223" max="12223" width="7.54296875" style="55" customWidth="1"/>
    <col min="12224" max="12224" width="59.54296875" style="55" customWidth="1"/>
    <col min="12225" max="12225" width="11.453125" style="55" customWidth="1"/>
    <col min="12226" max="12226" width="7.08984375" style="55" bestFit="1" customWidth="1"/>
    <col min="12227" max="12228" width="19.36328125" style="55" customWidth="1"/>
    <col min="12229" max="12229" width="17.36328125" style="55" customWidth="1"/>
    <col min="12230" max="12230" width="22.453125" style="55" bestFit="1" customWidth="1"/>
    <col min="12231" max="12231" width="20.36328125" style="55" customWidth="1"/>
    <col min="12232" max="12232" width="21" style="55" customWidth="1"/>
    <col min="12233" max="12478" width="9.08984375" style="55"/>
    <col min="12479" max="12479" width="7.54296875" style="55" customWidth="1"/>
    <col min="12480" max="12480" width="59.54296875" style="55" customWidth="1"/>
    <col min="12481" max="12481" width="11.453125" style="55" customWidth="1"/>
    <col min="12482" max="12482" width="7.08984375" style="55" bestFit="1" customWidth="1"/>
    <col min="12483" max="12484" width="19.36328125" style="55" customWidth="1"/>
    <col min="12485" max="12485" width="17.36328125" style="55" customWidth="1"/>
    <col min="12486" max="12486" width="22.453125" style="55" bestFit="1" customWidth="1"/>
    <col min="12487" max="12487" width="20.36328125" style="55" customWidth="1"/>
    <col min="12488" max="12488" width="21" style="55" customWidth="1"/>
    <col min="12489" max="12734" width="9.08984375" style="55"/>
    <col min="12735" max="12735" width="7.54296875" style="55" customWidth="1"/>
    <col min="12736" max="12736" width="59.54296875" style="55" customWidth="1"/>
    <col min="12737" max="12737" width="11.453125" style="55" customWidth="1"/>
    <col min="12738" max="12738" width="7.08984375" style="55" bestFit="1" customWidth="1"/>
    <col min="12739" max="12740" width="19.36328125" style="55" customWidth="1"/>
    <col min="12741" max="12741" width="17.36328125" style="55" customWidth="1"/>
    <col min="12742" max="12742" width="22.453125" style="55" bestFit="1" customWidth="1"/>
    <col min="12743" max="12743" width="20.36328125" style="55" customWidth="1"/>
    <col min="12744" max="12744" width="21" style="55" customWidth="1"/>
    <col min="12745" max="12990" width="9.08984375" style="55"/>
    <col min="12991" max="12991" width="7.54296875" style="55" customWidth="1"/>
    <col min="12992" max="12992" width="59.54296875" style="55" customWidth="1"/>
    <col min="12993" max="12993" width="11.453125" style="55" customWidth="1"/>
    <col min="12994" max="12994" width="7.08984375" style="55" bestFit="1" customWidth="1"/>
    <col min="12995" max="12996" width="19.36328125" style="55" customWidth="1"/>
    <col min="12997" max="12997" width="17.36328125" style="55" customWidth="1"/>
    <col min="12998" max="12998" width="22.453125" style="55" bestFit="1" customWidth="1"/>
    <col min="12999" max="12999" width="20.36328125" style="55" customWidth="1"/>
    <col min="13000" max="13000" width="21" style="55" customWidth="1"/>
    <col min="13001" max="13246" width="9.08984375" style="55"/>
    <col min="13247" max="13247" width="7.54296875" style="55" customWidth="1"/>
    <col min="13248" max="13248" width="59.54296875" style="55" customWidth="1"/>
    <col min="13249" max="13249" width="11.453125" style="55" customWidth="1"/>
    <col min="13250" max="13250" width="7.08984375" style="55" bestFit="1" customWidth="1"/>
    <col min="13251" max="13252" width="19.36328125" style="55" customWidth="1"/>
    <col min="13253" max="13253" width="17.36328125" style="55" customWidth="1"/>
    <col min="13254" max="13254" width="22.453125" style="55" bestFit="1" customWidth="1"/>
    <col min="13255" max="13255" width="20.36328125" style="55" customWidth="1"/>
    <col min="13256" max="13256" width="21" style="55" customWidth="1"/>
    <col min="13257" max="13502" width="9.08984375" style="55"/>
    <col min="13503" max="13503" width="7.54296875" style="55" customWidth="1"/>
    <col min="13504" max="13504" width="59.54296875" style="55" customWidth="1"/>
    <col min="13505" max="13505" width="11.453125" style="55" customWidth="1"/>
    <col min="13506" max="13506" width="7.08984375" style="55" bestFit="1" customWidth="1"/>
    <col min="13507" max="13508" width="19.36328125" style="55" customWidth="1"/>
    <col min="13509" max="13509" width="17.36328125" style="55" customWidth="1"/>
    <col min="13510" max="13510" width="22.453125" style="55" bestFit="1" customWidth="1"/>
    <col min="13511" max="13511" width="20.36328125" style="55" customWidth="1"/>
    <col min="13512" max="13512" width="21" style="55" customWidth="1"/>
    <col min="13513" max="16384" width="9.08984375" style="55"/>
  </cols>
  <sheetData>
    <row r="1" spans="1:19" ht="20.5">
      <c r="A1" s="91" t="s">
        <v>188</v>
      </c>
      <c r="B1" s="73"/>
      <c r="C1" s="73"/>
      <c r="D1" s="74"/>
      <c r="E1" s="56"/>
      <c r="G1" s="55"/>
      <c r="H1" s="55"/>
      <c r="I1" s="55"/>
      <c r="J1" s="55"/>
      <c r="K1" s="55"/>
      <c r="L1" s="55"/>
    </row>
    <row r="2" spans="1:19" ht="18">
      <c r="A2" s="14" t="s">
        <v>23</v>
      </c>
      <c r="B2" s="73"/>
      <c r="C2" s="73" t="s">
        <v>24</v>
      </c>
      <c r="D2" s="15" t="s">
        <v>187</v>
      </c>
      <c r="E2" s="56"/>
      <c r="G2" s="79"/>
      <c r="H2" s="55"/>
      <c r="I2" s="55"/>
      <c r="J2" s="55"/>
      <c r="K2" s="55"/>
      <c r="L2" s="55"/>
      <c r="Q2" s="218" t="s">
        <v>199</v>
      </c>
      <c r="R2" s="217">
        <v>1325000000</v>
      </c>
    </row>
    <row r="3" spans="1:19" ht="18.5" thickBot="1">
      <c r="A3" s="14" t="s">
        <v>25</v>
      </c>
      <c r="B3" s="73"/>
      <c r="C3" s="73" t="s">
        <v>24</v>
      </c>
      <c r="D3" s="15" t="s">
        <v>185</v>
      </c>
      <c r="E3" s="56"/>
      <c r="G3" s="55"/>
      <c r="H3" s="55"/>
      <c r="I3" s="55"/>
      <c r="J3" s="55"/>
      <c r="K3" s="55"/>
      <c r="L3" s="55"/>
      <c r="Q3" s="218" t="s">
        <v>200</v>
      </c>
      <c r="R3" s="217">
        <f>REKAP!E18</f>
        <v>1406190906.5753999</v>
      </c>
    </row>
    <row r="4" spans="1:19" ht="18.5" thickBot="1">
      <c r="A4" s="18" t="s">
        <v>26</v>
      </c>
      <c r="B4" s="75"/>
      <c r="C4" s="75" t="s">
        <v>24</v>
      </c>
      <c r="D4" s="75" t="s">
        <v>186</v>
      </c>
      <c r="E4" s="716"/>
      <c r="F4" s="716"/>
      <c r="G4" s="716"/>
      <c r="H4" s="716"/>
      <c r="I4" s="716"/>
      <c r="J4" s="716"/>
      <c r="K4" s="716"/>
      <c r="L4" s="716"/>
      <c r="M4" s="219"/>
      <c r="N4" s="219"/>
      <c r="O4" s="219"/>
      <c r="P4" s="219"/>
      <c r="Q4" s="219"/>
      <c r="R4" s="220">
        <f>R2-R3</f>
        <v>-81190906.575399876</v>
      </c>
    </row>
    <row r="5" spans="1:19" ht="18.5" thickBot="1">
      <c r="A5" s="14"/>
      <c r="B5" s="15"/>
      <c r="C5" s="15"/>
      <c r="D5" s="15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</row>
    <row r="6" spans="1:19" s="58" customFormat="1">
      <c r="A6" s="729" t="s">
        <v>0</v>
      </c>
      <c r="B6" s="708" t="s">
        <v>1</v>
      </c>
      <c r="C6" s="709"/>
      <c r="D6" s="710"/>
      <c r="E6" s="714" t="s">
        <v>27</v>
      </c>
      <c r="F6" s="714"/>
      <c r="G6" s="109" t="s">
        <v>39</v>
      </c>
      <c r="H6" s="109" t="s">
        <v>40</v>
      </c>
      <c r="I6" s="110" t="s">
        <v>37</v>
      </c>
      <c r="J6" s="109" t="s">
        <v>41</v>
      </c>
      <c r="K6" s="109" t="s">
        <v>42</v>
      </c>
      <c r="L6" s="112" t="s">
        <v>38</v>
      </c>
      <c r="M6" s="731" t="s">
        <v>179</v>
      </c>
      <c r="N6" s="731" t="s">
        <v>180</v>
      </c>
      <c r="O6" s="731" t="s">
        <v>181</v>
      </c>
      <c r="P6" s="731" t="s">
        <v>182</v>
      </c>
      <c r="Q6" s="731" t="s">
        <v>184</v>
      </c>
      <c r="R6" s="741" t="s">
        <v>178</v>
      </c>
      <c r="S6" s="222" t="s">
        <v>197</v>
      </c>
    </row>
    <row r="7" spans="1:19" s="58" customFormat="1" ht="16" thickBot="1">
      <c r="A7" s="730"/>
      <c r="B7" s="711"/>
      <c r="C7" s="712"/>
      <c r="D7" s="713"/>
      <c r="E7" s="715"/>
      <c r="F7" s="715"/>
      <c r="G7" s="111" t="s">
        <v>29</v>
      </c>
      <c r="H7" s="111" t="s">
        <v>29</v>
      </c>
      <c r="I7" s="111" t="s">
        <v>29</v>
      </c>
      <c r="J7" s="111" t="s">
        <v>29</v>
      </c>
      <c r="K7" s="111" t="s">
        <v>29</v>
      </c>
      <c r="L7" s="113" t="s">
        <v>29</v>
      </c>
      <c r="M7" s="732"/>
      <c r="N7" s="732"/>
      <c r="O7" s="732"/>
      <c r="P7" s="732"/>
      <c r="Q7" s="733"/>
      <c r="R7" s="732"/>
      <c r="S7" s="222" t="s">
        <v>196</v>
      </c>
    </row>
    <row r="8" spans="1:19" ht="18.5" thickTop="1">
      <c r="A8" s="89" t="s">
        <v>2</v>
      </c>
      <c r="B8" s="90" t="s">
        <v>54</v>
      </c>
      <c r="C8" s="59"/>
      <c r="D8" s="60"/>
      <c r="E8" s="135"/>
      <c r="F8" s="136"/>
      <c r="G8" s="115"/>
      <c r="H8" s="115"/>
      <c r="I8" s="115"/>
      <c r="J8" s="115"/>
      <c r="K8" s="115"/>
      <c r="L8" s="115"/>
      <c r="Q8" s="165"/>
      <c r="R8" s="165"/>
    </row>
    <row r="9" spans="1:19" ht="13.5" customHeight="1">
      <c r="A9" s="85" t="s">
        <v>2</v>
      </c>
      <c r="B9" s="95" t="s">
        <v>3</v>
      </c>
      <c r="C9" s="160"/>
      <c r="D9" s="161"/>
      <c r="E9" s="137"/>
      <c r="F9" s="138"/>
      <c r="G9" s="116"/>
      <c r="H9" s="116"/>
      <c r="I9" s="116"/>
      <c r="J9" s="116"/>
      <c r="K9" s="116"/>
      <c r="L9" s="116"/>
      <c r="Q9" s="165"/>
      <c r="R9" s="165"/>
    </row>
    <row r="10" spans="1:19">
      <c r="A10" s="94">
        <v>1</v>
      </c>
      <c r="B10" s="86" t="s">
        <v>62</v>
      </c>
      <c r="C10" s="61"/>
      <c r="D10" s="84"/>
      <c r="E10" s="139">
        <v>128</v>
      </c>
      <c r="F10" s="140" t="s">
        <v>13</v>
      </c>
      <c r="G10" s="127">
        <v>10000</v>
      </c>
      <c r="H10" s="116">
        <v>10000</v>
      </c>
      <c r="I10" s="116">
        <f>H10+G10</f>
        <v>20000</v>
      </c>
      <c r="J10" s="116">
        <f>E10*G10</f>
        <v>1280000</v>
      </c>
      <c r="K10" s="116">
        <f>E10*H10</f>
        <v>1280000</v>
      </c>
      <c r="L10" s="116">
        <v>2944000</v>
      </c>
      <c r="M10" s="114"/>
      <c r="N10" s="96"/>
      <c r="O10" s="114"/>
      <c r="P10" s="96">
        <f t="shared" ref="P10:P15" si="0">I10*15%</f>
        <v>3000</v>
      </c>
      <c r="Q10" s="166">
        <f t="shared" ref="Q10:Q15" si="1">I10+M10+N10+O10+P10</f>
        <v>23000</v>
      </c>
      <c r="R10" s="167">
        <f t="shared" ref="R10:R15" si="2">Q10*E10</f>
        <v>2944000</v>
      </c>
      <c r="S10" s="221">
        <f>R10/$R$3</f>
        <v>2.0935990883127953E-3</v>
      </c>
    </row>
    <row r="11" spans="1:19">
      <c r="A11" s="94">
        <v>2</v>
      </c>
      <c r="B11" s="86" t="s">
        <v>63</v>
      </c>
      <c r="C11" s="61"/>
      <c r="D11" s="84"/>
      <c r="E11" s="139">
        <v>854</v>
      </c>
      <c r="F11" s="140" t="s">
        <v>14</v>
      </c>
      <c r="G11" s="127">
        <v>0</v>
      </c>
      <c r="H11" s="116">
        <v>2000</v>
      </c>
      <c r="I11" s="116">
        <f>H11+G11</f>
        <v>2000</v>
      </c>
      <c r="J11" s="116">
        <f>E11*G11</f>
        <v>0</v>
      </c>
      <c r="K11" s="116">
        <f>E11*H11</f>
        <v>1708000</v>
      </c>
      <c r="L11" s="116">
        <v>1964200</v>
      </c>
      <c r="M11" s="114"/>
      <c r="N11" s="114"/>
      <c r="O11" s="114"/>
      <c r="P11" s="96">
        <f t="shared" si="0"/>
        <v>300</v>
      </c>
      <c r="Q11" s="166">
        <f t="shared" si="1"/>
        <v>2300</v>
      </c>
      <c r="R11" s="167">
        <f t="shared" si="2"/>
        <v>1964200</v>
      </c>
      <c r="S11" s="221">
        <f t="shared" ref="S11:S18" si="3">R11/$R$3</f>
        <v>1.3968231417336929E-3</v>
      </c>
    </row>
    <row r="12" spans="1:19">
      <c r="A12" s="94">
        <v>3</v>
      </c>
      <c r="B12" s="92" t="s">
        <v>58</v>
      </c>
      <c r="C12" s="61"/>
      <c r="D12" s="84"/>
      <c r="E12" s="141">
        <v>30</v>
      </c>
      <c r="F12" s="142" t="s">
        <v>64</v>
      </c>
      <c r="G12" s="127">
        <v>183333</v>
      </c>
      <c r="H12" s="116">
        <v>100000</v>
      </c>
      <c r="I12" s="116">
        <f t="shared" ref="I12:I107" si="4">H12+G12</f>
        <v>283333</v>
      </c>
      <c r="J12" s="116">
        <f t="shared" ref="J12:J18" si="5">E12*G12</f>
        <v>5499990</v>
      </c>
      <c r="K12" s="116">
        <f t="shared" ref="K12:K18" si="6">E12*H12</f>
        <v>3000000</v>
      </c>
      <c r="L12" s="116">
        <v>9774988.5</v>
      </c>
      <c r="M12" s="114"/>
      <c r="N12" s="114"/>
      <c r="O12" s="114"/>
      <c r="P12" s="96">
        <f t="shared" si="0"/>
        <v>42499.95</v>
      </c>
      <c r="Q12" s="166">
        <f t="shared" si="1"/>
        <v>325832.95</v>
      </c>
      <c r="R12" s="167">
        <f t="shared" si="2"/>
        <v>9774988.5</v>
      </c>
      <c r="S12" s="221">
        <f t="shared" si="3"/>
        <v>6.9513950447921387E-3</v>
      </c>
    </row>
    <row r="13" spans="1:19">
      <c r="A13" s="94">
        <v>4</v>
      </c>
      <c r="B13" s="92" t="s">
        <v>57</v>
      </c>
      <c r="C13" s="61"/>
      <c r="D13" s="84"/>
      <c r="E13" s="141">
        <v>1</v>
      </c>
      <c r="F13" s="142" t="s">
        <v>56</v>
      </c>
      <c r="G13" s="127">
        <v>1500000</v>
      </c>
      <c r="H13" s="116">
        <v>1000000</v>
      </c>
      <c r="I13" s="116">
        <f t="shared" si="4"/>
        <v>2500000</v>
      </c>
      <c r="J13" s="116">
        <f t="shared" si="5"/>
        <v>1500000</v>
      </c>
      <c r="K13" s="116">
        <f t="shared" si="6"/>
        <v>1000000</v>
      </c>
      <c r="L13" s="116">
        <v>2875000</v>
      </c>
      <c r="M13" s="114"/>
      <c r="N13" s="114"/>
      <c r="O13" s="114"/>
      <c r="P13" s="96">
        <f t="shared" si="0"/>
        <v>375000</v>
      </c>
      <c r="Q13" s="166">
        <f t="shared" si="1"/>
        <v>2875000</v>
      </c>
      <c r="R13" s="167">
        <f t="shared" si="2"/>
        <v>2875000</v>
      </c>
      <c r="S13" s="221">
        <f t="shared" si="3"/>
        <v>2.0445303596804639E-3</v>
      </c>
    </row>
    <row r="14" spans="1:19">
      <c r="A14" s="94">
        <v>5</v>
      </c>
      <c r="B14" s="92" t="s">
        <v>60</v>
      </c>
      <c r="C14" s="61"/>
      <c r="D14" s="84"/>
      <c r="E14" s="141">
        <v>1</v>
      </c>
      <c r="F14" s="142" t="s">
        <v>56</v>
      </c>
      <c r="G14" s="127">
        <v>0</v>
      </c>
      <c r="H14" s="116">
        <v>7500000</v>
      </c>
      <c r="I14" s="116">
        <f t="shared" si="4"/>
        <v>7500000</v>
      </c>
      <c r="J14" s="116">
        <f t="shared" si="5"/>
        <v>0</v>
      </c>
      <c r="K14" s="116">
        <f t="shared" si="6"/>
        <v>7500000</v>
      </c>
      <c r="L14" s="116">
        <v>7500000</v>
      </c>
      <c r="M14" s="114"/>
      <c r="N14" s="114"/>
      <c r="O14" s="114"/>
      <c r="P14" s="96"/>
      <c r="Q14" s="166">
        <f t="shared" si="1"/>
        <v>7500000</v>
      </c>
      <c r="R14" s="167">
        <f t="shared" si="2"/>
        <v>7500000</v>
      </c>
      <c r="S14" s="221">
        <f t="shared" si="3"/>
        <v>5.3335574600359929E-3</v>
      </c>
    </row>
    <row r="15" spans="1:19">
      <c r="A15" s="94">
        <v>6</v>
      </c>
      <c r="B15" s="92" t="s">
        <v>59</v>
      </c>
      <c r="C15" s="61"/>
      <c r="D15" s="84"/>
      <c r="E15" s="141">
        <v>3</v>
      </c>
      <c r="F15" s="142" t="s">
        <v>18</v>
      </c>
      <c r="G15" s="127">
        <v>111333</v>
      </c>
      <c r="H15" s="116">
        <v>39000</v>
      </c>
      <c r="I15" s="116">
        <f t="shared" ref="I15" si="7">H15+G15</f>
        <v>150333</v>
      </c>
      <c r="J15" s="116">
        <f t="shared" ref="J15:J17" si="8">E15*G15</f>
        <v>333999</v>
      </c>
      <c r="K15" s="116">
        <f t="shared" ref="K15" si="9">E15*H15</f>
        <v>117000</v>
      </c>
      <c r="L15" s="116">
        <v>518648.85000000003</v>
      </c>
      <c r="M15" s="114"/>
      <c r="N15" s="114"/>
      <c r="O15" s="114"/>
      <c r="P15" s="96">
        <f t="shared" si="0"/>
        <v>22549.95</v>
      </c>
      <c r="Q15" s="166">
        <f t="shared" si="1"/>
        <v>172882.95</v>
      </c>
      <c r="R15" s="167">
        <f t="shared" si="2"/>
        <v>518648.85000000003</v>
      </c>
      <c r="S15" s="221">
        <f t="shared" si="3"/>
        <v>3.6883245907421184E-4</v>
      </c>
    </row>
    <row r="16" spans="1:19">
      <c r="A16" s="94">
        <v>7</v>
      </c>
      <c r="B16" s="92" t="s">
        <v>173</v>
      </c>
      <c r="C16" s="61"/>
      <c r="D16" s="84"/>
      <c r="E16" s="143">
        <v>1</v>
      </c>
      <c r="F16" s="144" t="s">
        <v>56</v>
      </c>
      <c r="G16" s="128">
        <v>10000000</v>
      </c>
      <c r="H16" s="117"/>
      <c r="I16" s="117"/>
      <c r="J16" s="117">
        <f t="shared" si="8"/>
        <v>10000000</v>
      </c>
      <c r="K16" s="117"/>
      <c r="L16" s="116">
        <v>10000000</v>
      </c>
      <c r="M16" s="114"/>
      <c r="N16" s="114"/>
      <c r="O16" s="114"/>
      <c r="P16" s="96"/>
      <c r="Q16" s="166"/>
      <c r="R16" s="166">
        <f>Q16+L16</f>
        <v>10000000</v>
      </c>
      <c r="S16" s="221">
        <f t="shared" si="3"/>
        <v>7.1114099467146571E-3</v>
      </c>
    </row>
    <row r="17" spans="1:19">
      <c r="A17" s="94">
        <v>8</v>
      </c>
      <c r="B17" s="92" t="s">
        <v>174</v>
      </c>
      <c r="C17" s="61"/>
      <c r="D17" s="84"/>
      <c r="E17" s="143">
        <v>8</v>
      </c>
      <c r="F17" s="144" t="s">
        <v>56</v>
      </c>
      <c r="G17" s="128"/>
      <c r="H17" s="117">
        <v>1000000</v>
      </c>
      <c r="I17" s="117"/>
      <c r="J17" s="117">
        <f t="shared" si="8"/>
        <v>0</v>
      </c>
      <c r="K17" s="117">
        <f>H17*E17</f>
        <v>8000000</v>
      </c>
      <c r="L17" s="116">
        <v>8000000</v>
      </c>
      <c r="M17" s="114"/>
      <c r="P17" s="96">
        <f>I17*15%</f>
        <v>0</v>
      </c>
      <c r="Q17" s="165"/>
      <c r="R17" s="167">
        <v>8000000</v>
      </c>
      <c r="S17" s="221">
        <f t="shared" si="3"/>
        <v>5.6891279573717257E-3</v>
      </c>
    </row>
    <row r="18" spans="1:19" ht="16" thickBot="1">
      <c r="A18" s="189">
        <v>9</v>
      </c>
      <c r="B18" s="93" t="s">
        <v>47</v>
      </c>
      <c r="C18" s="208"/>
      <c r="D18" s="209"/>
      <c r="E18" s="157">
        <v>30</v>
      </c>
      <c r="F18" s="158" t="s">
        <v>14</v>
      </c>
      <c r="G18" s="128">
        <v>250000</v>
      </c>
      <c r="H18" s="117">
        <v>50000</v>
      </c>
      <c r="I18" s="117">
        <f t="shared" si="4"/>
        <v>300000</v>
      </c>
      <c r="J18" s="117">
        <f t="shared" si="5"/>
        <v>7500000</v>
      </c>
      <c r="K18" s="117">
        <f t="shared" si="6"/>
        <v>1500000</v>
      </c>
      <c r="L18" s="117">
        <v>9000000</v>
      </c>
      <c r="M18" s="114"/>
      <c r="N18" s="114"/>
      <c r="O18" s="114"/>
      <c r="P18" s="96"/>
      <c r="Q18" s="194">
        <f>I18+M18+N18+O18+P18</f>
        <v>300000</v>
      </c>
      <c r="R18" s="195">
        <f>Q18*E18</f>
        <v>9000000</v>
      </c>
      <c r="S18" s="221">
        <f t="shared" si="3"/>
        <v>6.4002689520431914E-3</v>
      </c>
    </row>
    <row r="19" spans="1:19">
      <c r="A19" s="212"/>
      <c r="B19" s="213"/>
      <c r="C19" s="214"/>
      <c r="D19" s="215"/>
      <c r="E19" s="216"/>
      <c r="F19" s="212"/>
      <c r="G19" s="210"/>
      <c r="H19" s="210"/>
      <c r="I19" s="211"/>
      <c r="J19" s="211"/>
      <c r="K19" s="211"/>
      <c r="L19" s="211">
        <f>SUM(L10:L18)</f>
        <v>52576837.350000001</v>
      </c>
      <c r="M19" s="205"/>
      <c r="N19" s="205"/>
      <c r="O19" s="205"/>
      <c r="P19" s="205"/>
      <c r="Q19" s="206" t="s">
        <v>178</v>
      </c>
      <c r="R19" s="207">
        <f>SUM(R10:R18)</f>
        <v>52576837.350000001</v>
      </c>
    </row>
    <row r="20" spans="1:19">
      <c r="A20" s="62"/>
      <c r="B20" s="63"/>
      <c r="C20" s="61"/>
      <c r="D20" s="64"/>
      <c r="E20" s="137"/>
      <c r="F20" s="138"/>
      <c r="G20" s="116"/>
      <c r="H20" s="116"/>
      <c r="I20" s="116"/>
      <c r="J20" s="116"/>
      <c r="K20" s="116"/>
      <c r="L20" s="116"/>
      <c r="Q20" s="165"/>
      <c r="R20" s="165"/>
    </row>
    <row r="21" spans="1:19">
      <c r="A21" s="85" t="s">
        <v>4</v>
      </c>
      <c r="B21" s="95" t="s">
        <v>5</v>
      </c>
      <c r="C21" s="162"/>
      <c r="D21" s="163"/>
      <c r="E21" s="149"/>
      <c r="F21" s="150"/>
      <c r="G21" s="131"/>
      <c r="H21" s="120"/>
      <c r="I21" s="120"/>
      <c r="J21" s="120"/>
      <c r="K21" s="120"/>
      <c r="L21" s="120"/>
      <c r="Q21" s="165"/>
      <c r="R21" s="165"/>
    </row>
    <row r="22" spans="1:19">
      <c r="A22" s="94">
        <v>1</v>
      </c>
      <c r="B22" s="103" t="s">
        <v>65</v>
      </c>
      <c r="C22" s="101"/>
      <c r="D22" s="102"/>
      <c r="E22" s="139">
        <f>0.6*0.6*0.3*50</f>
        <v>5.4</v>
      </c>
      <c r="F22" s="140" t="s">
        <v>15</v>
      </c>
      <c r="G22" s="131">
        <v>0</v>
      </c>
      <c r="H22" s="120">
        <v>65000</v>
      </c>
      <c r="I22" s="120">
        <f t="shared" ref="I22:I34" si="10">H22+G22</f>
        <v>65000</v>
      </c>
      <c r="J22" s="120">
        <f t="shared" ref="J22:J33" si="11">E22*G22</f>
        <v>0</v>
      </c>
      <c r="K22" s="120">
        <f t="shared" ref="K22:K34" si="12">E22*H22</f>
        <v>351000</v>
      </c>
      <c r="L22" s="120">
        <f>(K22+J22)*130%</f>
        <v>456300</v>
      </c>
      <c r="M22" s="114">
        <v>6500</v>
      </c>
      <c r="N22" s="114">
        <v>10000</v>
      </c>
      <c r="O22" s="114">
        <v>5000</v>
      </c>
      <c r="P22" s="114">
        <v>9750</v>
      </c>
      <c r="Q22" s="166">
        <f>I22+N22+O22+P22</f>
        <v>89750</v>
      </c>
      <c r="R22" s="167">
        <f t="shared" ref="R22:R34" si="13">Q22*E22</f>
        <v>484650.00000000006</v>
      </c>
      <c r="S22" s="221">
        <f t="shared" ref="S22:S58" si="14">R22/$R$3</f>
        <v>3.4465448306752588E-4</v>
      </c>
    </row>
    <row r="23" spans="1:19">
      <c r="A23" s="94">
        <v>2</v>
      </c>
      <c r="B23" s="103" t="s">
        <v>66</v>
      </c>
      <c r="C23" s="101"/>
      <c r="D23" s="102"/>
      <c r="E23" s="139">
        <f>0.8*0.8*0.3*30</f>
        <v>5.7600000000000007</v>
      </c>
      <c r="F23" s="140" t="s">
        <v>15</v>
      </c>
      <c r="G23" s="131">
        <v>0</v>
      </c>
      <c r="H23" s="120">
        <v>65000</v>
      </c>
      <c r="I23" s="120">
        <f t="shared" si="10"/>
        <v>65000</v>
      </c>
      <c r="J23" s="120">
        <f t="shared" si="11"/>
        <v>0</v>
      </c>
      <c r="K23" s="120">
        <f t="shared" si="12"/>
        <v>374400.00000000006</v>
      </c>
      <c r="L23" s="120">
        <f>(K23+J23)*130%</f>
        <v>486720.00000000012</v>
      </c>
      <c r="M23" s="114">
        <v>6500</v>
      </c>
      <c r="N23" s="114">
        <v>10000</v>
      </c>
      <c r="O23" s="114">
        <v>5000</v>
      </c>
      <c r="P23" s="114">
        <v>9750</v>
      </c>
      <c r="Q23" s="166">
        <f t="shared" ref="Q23:Q34" si="15">I23+N23+O23+P23</f>
        <v>89750</v>
      </c>
      <c r="R23" s="167">
        <f t="shared" si="13"/>
        <v>516960.00000000006</v>
      </c>
      <c r="S23" s="221">
        <f t="shared" si="14"/>
        <v>3.6763144860536097E-4</v>
      </c>
    </row>
    <row r="24" spans="1:19">
      <c r="A24" s="94">
        <v>4</v>
      </c>
      <c r="B24" s="86" t="s">
        <v>67</v>
      </c>
      <c r="C24" s="101"/>
      <c r="D24" s="102"/>
      <c r="E24" s="151">
        <f>(0.6*0.6*0.05)*50</f>
        <v>0.89999999999999991</v>
      </c>
      <c r="F24" s="140" t="s">
        <v>15</v>
      </c>
      <c r="G24" s="131">
        <v>15400</v>
      </c>
      <c r="H24" s="120">
        <v>47500</v>
      </c>
      <c r="I24" s="120">
        <f t="shared" si="10"/>
        <v>62900</v>
      </c>
      <c r="J24" s="120">
        <f t="shared" si="11"/>
        <v>13859.999999999998</v>
      </c>
      <c r="K24" s="120">
        <f t="shared" si="12"/>
        <v>42749.999999999993</v>
      </c>
      <c r="L24" s="120">
        <f t="shared" ref="L24:L34" si="16">K24+J24</f>
        <v>56609.999999999993</v>
      </c>
      <c r="M24" s="114">
        <v>6290</v>
      </c>
      <c r="N24" s="114">
        <v>10000</v>
      </c>
      <c r="O24" s="114">
        <v>5000</v>
      </c>
      <c r="P24" s="114">
        <v>9435</v>
      </c>
      <c r="Q24" s="166">
        <f t="shared" si="15"/>
        <v>87335</v>
      </c>
      <c r="R24" s="167">
        <f t="shared" si="13"/>
        <v>78601.499999999985</v>
      </c>
      <c r="S24" s="221">
        <f t="shared" si="14"/>
        <v>5.58967488926692E-5</v>
      </c>
    </row>
    <row r="25" spans="1:19">
      <c r="A25" s="94">
        <v>5</v>
      </c>
      <c r="B25" s="86" t="s">
        <v>68</v>
      </c>
      <c r="C25" s="101"/>
      <c r="D25" s="102"/>
      <c r="E25" s="139">
        <f>(0.8*0.8*0.05)*30</f>
        <v>0.96000000000000019</v>
      </c>
      <c r="F25" s="140" t="s">
        <v>15</v>
      </c>
      <c r="G25" s="131">
        <v>15400</v>
      </c>
      <c r="H25" s="120">
        <v>47500</v>
      </c>
      <c r="I25" s="120">
        <f t="shared" si="10"/>
        <v>62900</v>
      </c>
      <c r="J25" s="120">
        <f t="shared" si="11"/>
        <v>14784.000000000004</v>
      </c>
      <c r="K25" s="120">
        <f t="shared" si="12"/>
        <v>45600.000000000007</v>
      </c>
      <c r="L25" s="120">
        <f t="shared" si="16"/>
        <v>60384.000000000015</v>
      </c>
      <c r="M25" s="114">
        <v>6290</v>
      </c>
      <c r="N25" s="114">
        <v>10000</v>
      </c>
      <c r="O25" s="114">
        <v>5000</v>
      </c>
      <c r="P25" s="114">
        <v>9435</v>
      </c>
      <c r="Q25" s="166">
        <f t="shared" si="15"/>
        <v>87335</v>
      </c>
      <c r="R25" s="167">
        <f t="shared" si="13"/>
        <v>83841.60000000002</v>
      </c>
      <c r="S25" s="221">
        <f t="shared" si="14"/>
        <v>5.9623198818847177E-5</v>
      </c>
    </row>
    <row r="26" spans="1:19">
      <c r="A26" s="94">
        <v>7</v>
      </c>
      <c r="B26" s="86" t="s">
        <v>69</v>
      </c>
      <c r="C26" s="101"/>
      <c r="D26" s="102"/>
      <c r="E26" s="151">
        <f>0.6*0.6*50</f>
        <v>18</v>
      </c>
      <c r="F26" s="140" t="s">
        <v>14</v>
      </c>
      <c r="G26" s="131">
        <v>13200</v>
      </c>
      <c r="H26" s="120">
        <v>36000</v>
      </c>
      <c r="I26" s="120">
        <f t="shared" si="10"/>
        <v>49200</v>
      </c>
      <c r="J26" s="120">
        <f t="shared" si="11"/>
        <v>237600</v>
      </c>
      <c r="K26" s="120">
        <f t="shared" si="12"/>
        <v>648000</v>
      </c>
      <c r="L26" s="120">
        <f t="shared" si="16"/>
        <v>885600</v>
      </c>
      <c r="M26" s="114">
        <v>4920</v>
      </c>
      <c r="N26" s="114">
        <v>10000</v>
      </c>
      <c r="O26" s="114">
        <v>5000</v>
      </c>
      <c r="P26" s="114">
        <v>7380</v>
      </c>
      <c r="Q26" s="166">
        <f t="shared" si="15"/>
        <v>71580</v>
      </c>
      <c r="R26" s="167">
        <f t="shared" si="13"/>
        <v>1288440</v>
      </c>
      <c r="S26" s="221">
        <f t="shared" si="14"/>
        <v>9.162625031745033E-4</v>
      </c>
    </row>
    <row r="27" spans="1:19">
      <c r="A27" s="94">
        <v>8</v>
      </c>
      <c r="B27" s="86" t="s">
        <v>70</v>
      </c>
      <c r="C27" s="101"/>
      <c r="D27" s="102"/>
      <c r="E27" s="139">
        <f>0.8*0.8*30</f>
        <v>19.200000000000003</v>
      </c>
      <c r="F27" s="140" t="s">
        <v>14</v>
      </c>
      <c r="G27" s="131">
        <v>13200</v>
      </c>
      <c r="H27" s="120">
        <v>36000</v>
      </c>
      <c r="I27" s="120">
        <f t="shared" si="10"/>
        <v>49200</v>
      </c>
      <c r="J27" s="120">
        <f t="shared" si="11"/>
        <v>253440.00000000003</v>
      </c>
      <c r="K27" s="120">
        <f t="shared" si="12"/>
        <v>691200.00000000012</v>
      </c>
      <c r="L27" s="120">
        <f t="shared" si="16"/>
        <v>944640.00000000012</v>
      </c>
      <c r="M27" s="114">
        <v>4920</v>
      </c>
      <c r="N27" s="114">
        <v>10000</v>
      </c>
      <c r="O27" s="114">
        <v>5000</v>
      </c>
      <c r="P27" s="114">
        <v>7380</v>
      </c>
      <c r="Q27" s="166">
        <f t="shared" si="15"/>
        <v>71580</v>
      </c>
      <c r="R27" s="167">
        <f t="shared" si="13"/>
        <v>1374336.0000000002</v>
      </c>
      <c r="S27" s="221">
        <f t="shared" si="14"/>
        <v>9.7734667005280364E-4</v>
      </c>
    </row>
    <row r="28" spans="1:19">
      <c r="A28" s="94">
        <v>10</v>
      </c>
      <c r="B28" s="93" t="s">
        <v>121</v>
      </c>
      <c r="C28" s="101"/>
      <c r="D28" s="102"/>
      <c r="E28" s="139">
        <f>(0.6*0.6*0.3)*17</f>
        <v>1.8360000000000001</v>
      </c>
      <c r="F28" s="140" t="s">
        <v>15</v>
      </c>
      <c r="G28" s="131">
        <v>0</v>
      </c>
      <c r="H28" s="120">
        <v>65000</v>
      </c>
      <c r="I28" s="120">
        <f t="shared" si="10"/>
        <v>65000</v>
      </c>
      <c r="J28" s="120">
        <f t="shared" si="11"/>
        <v>0</v>
      </c>
      <c r="K28" s="120">
        <f t="shared" si="12"/>
        <v>119340</v>
      </c>
      <c r="L28" s="120">
        <f t="shared" si="16"/>
        <v>119340</v>
      </c>
      <c r="M28" s="114">
        <v>6500</v>
      </c>
      <c r="N28" s="114">
        <v>10000</v>
      </c>
      <c r="O28" s="114">
        <v>5000</v>
      </c>
      <c r="P28" s="114">
        <v>9750</v>
      </c>
      <c r="Q28" s="166">
        <f t="shared" si="15"/>
        <v>89750</v>
      </c>
      <c r="R28" s="167">
        <f t="shared" si="13"/>
        <v>164781</v>
      </c>
      <c r="S28" s="221">
        <f t="shared" si="14"/>
        <v>1.1718252424295879E-4</v>
      </c>
    </row>
    <row r="29" spans="1:19">
      <c r="A29" s="94">
        <v>11</v>
      </c>
      <c r="B29" s="93" t="s">
        <v>125</v>
      </c>
      <c r="C29" s="101"/>
      <c r="D29" s="102"/>
      <c r="E29" s="139">
        <f>(0.6*0.6*0.5)*17</f>
        <v>3.06</v>
      </c>
      <c r="F29" s="140" t="s">
        <v>15</v>
      </c>
      <c r="G29" s="131">
        <v>15400</v>
      </c>
      <c r="H29" s="120">
        <v>47500</v>
      </c>
      <c r="I29" s="120">
        <f t="shared" si="10"/>
        <v>62900</v>
      </c>
      <c r="J29" s="120">
        <f t="shared" si="11"/>
        <v>47124</v>
      </c>
      <c r="K29" s="120">
        <f t="shared" si="12"/>
        <v>145350</v>
      </c>
      <c r="L29" s="120">
        <f t="shared" si="16"/>
        <v>192474</v>
      </c>
      <c r="M29" s="114">
        <v>6290</v>
      </c>
      <c r="N29" s="114">
        <v>10000</v>
      </c>
      <c r="O29" s="114">
        <v>5000</v>
      </c>
      <c r="P29" s="114">
        <v>9435</v>
      </c>
      <c r="Q29" s="166">
        <f t="shared" si="15"/>
        <v>87335</v>
      </c>
      <c r="R29" s="167">
        <f t="shared" si="13"/>
        <v>267245.09999999998</v>
      </c>
      <c r="S29" s="221">
        <f t="shared" si="14"/>
        <v>1.900489462350753E-4</v>
      </c>
    </row>
    <row r="30" spans="1:19">
      <c r="A30" s="94">
        <v>12</v>
      </c>
      <c r="B30" s="93" t="s">
        <v>126</v>
      </c>
      <c r="C30" s="101"/>
      <c r="D30" s="102"/>
      <c r="E30" s="139">
        <f>E29</f>
        <v>3.06</v>
      </c>
      <c r="F30" s="140" t="s">
        <v>15</v>
      </c>
      <c r="G30" s="131">
        <v>13200</v>
      </c>
      <c r="H30" s="120">
        <v>36000</v>
      </c>
      <c r="I30" s="120">
        <f t="shared" si="10"/>
        <v>49200</v>
      </c>
      <c r="J30" s="120">
        <f t="shared" si="11"/>
        <v>40392</v>
      </c>
      <c r="K30" s="120">
        <f t="shared" si="12"/>
        <v>110160</v>
      </c>
      <c r="L30" s="120">
        <f t="shared" si="16"/>
        <v>150552</v>
      </c>
      <c r="M30" s="114">
        <v>4920</v>
      </c>
      <c r="N30" s="114">
        <v>10000</v>
      </c>
      <c r="O30" s="114">
        <v>5000</v>
      </c>
      <c r="P30" s="114">
        <v>7380</v>
      </c>
      <c r="Q30" s="166">
        <f t="shared" si="15"/>
        <v>71580</v>
      </c>
      <c r="R30" s="167">
        <f t="shared" si="13"/>
        <v>219034.80000000002</v>
      </c>
      <c r="S30" s="221">
        <f t="shared" si="14"/>
        <v>1.5576462553966558E-4</v>
      </c>
    </row>
    <row r="31" spans="1:19">
      <c r="A31" s="94">
        <v>13</v>
      </c>
      <c r="B31" s="93" t="s">
        <v>122</v>
      </c>
      <c r="C31" s="101"/>
      <c r="D31" s="102"/>
      <c r="E31" s="139">
        <f>'[40]VOLUME BP &amp; GALIAN'!F61</f>
        <v>18.013000000000005</v>
      </c>
      <c r="F31" s="140" t="s">
        <v>15</v>
      </c>
      <c r="G31" s="131"/>
      <c r="H31" s="120">
        <v>65000</v>
      </c>
      <c r="I31" s="120">
        <f t="shared" si="10"/>
        <v>65000</v>
      </c>
      <c r="J31" s="120">
        <f t="shared" si="11"/>
        <v>0</v>
      </c>
      <c r="K31" s="120">
        <f t="shared" si="12"/>
        <v>1170845.0000000002</v>
      </c>
      <c r="L31" s="120">
        <f t="shared" si="16"/>
        <v>1170845.0000000002</v>
      </c>
      <c r="M31" s="114">
        <v>6500</v>
      </c>
      <c r="N31" s="114">
        <v>10000</v>
      </c>
      <c r="O31" s="114">
        <v>5000</v>
      </c>
      <c r="P31" s="114">
        <v>9750</v>
      </c>
      <c r="Q31" s="166">
        <f t="shared" si="15"/>
        <v>89750</v>
      </c>
      <c r="R31" s="167">
        <f t="shared" si="13"/>
        <v>1616666.7500000005</v>
      </c>
      <c r="S31" s="221">
        <f t="shared" si="14"/>
        <v>1.1496780006472862E-3</v>
      </c>
    </row>
    <row r="32" spans="1:19">
      <c r="A32" s="94">
        <v>14</v>
      </c>
      <c r="B32" s="93" t="s">
        <v>123</v>
      </c>
      <c r="C32" s="101"/>
      <c r="D32" s="102"/>
      <c r="E32" s="139">
        <f>'[40]VOLUME BP &amp; GALIAN'!F76</f>
        <v>9.7693750000000019</v>
      </c>
      <c r="F32" s="140" t="s">
        <v>15</v>
      </c>
      <c r="G32" s="131"/>
      <c r="H32" s="120">
        <v>65000</v>
      </c>
      <c r="I32" s="120">
        <f t="shared" si="10"/>
        <v>65000</v>
      </c>
      <c r="J32" s="120">
        <f t="shared" si="11"/>
        <v>0</v>
      </c>
      <c r="K32" s="120">
        <f t="shared" si="12"/>
        <v>635009.37500000012</v>
      </c>
      <c r="L32" s="120">
        <f t="shared" si="16"/>
        <v>635009.37500000012</v>
      </c>
      <c r="M32" s="114">
        <v>6500</v>
      </c>
      <c r="N32" s="114">
        <v>10000</v>
      </c>
      <c r="O32" s="114">
        <v>5000</v>
      </c>
      <c r="P32" s="114">
        <v>9750</v>
      </c>
      <c r="Q32" s="166">
        <f t="shared" si="15"/>
        <v>89750</v>
      </c>
      <c r="R32" s="167">
        <f t="shared" si="13"/>
        <v>876801.40625000012</v>
      </c>
      <c r="S32" s="221">
        <f t="shared" si="14"/>
        <v>6.2352942416996494E-4</v>
      </c>
    </row>
    <row r="33" spans="1:19">
      <c r="A33" s="94">
        <v>15</v>
      </c>
      <c r="B33" s="93" t="s">
        <v>124</v>
      </c>
      <c r="C33" s="101"/>
      <c r="D33" s="102"/>
      <c r="E33" s="139">
        <f>'[40]VOLUME BP &amp; GALIAN'!F108</f>
        <v>5.5738799999999991</v>
      </c>
      <c r="F33" s="140" t="s">
        <v>15</v>
      </c>
      <c r="G33" s="131"/>
      <c r="H33" s="120">
        <v>65000</v>
      </c>
      <c r="I33" s="120">
        <f t="shared" si="10"/>
        <v>65000</v>
      </c>
      <c r="J33" s="120">
        <f t="shared" si="11"/>
        <v>0</v>
      </c>
      <c r="K33" s="120">
        <f t="shared" si="12"/>
        <v>362302.19999999995</v>
      </c>
      <c r="L33" s="120">
        <f t="shared" si="16"/>
        <v>362302.19999999995</v>
      </c>
      <c r="M33" s="114">
        <v>6500</v>
      </c>
      <c r="N33" s="114">
        <v>10000</v>
      </c>
      <c r="O33" s="114">
        <v>5000</v>
      </c>
      <c r="P33" s="114">
        <v>9750</v>
      </c>
      <c r="Q33" s="166">
        <f t="shared" si="15"/>
        <v>89750</v>
      </c>
      <c r="R33" s="167">
        <f t="shared" si="13"/>
        <v>500255.72999999992</v>
      </c>
      <c r="S33" s="221">
        <f t="shared" si="14"/>
        <v>3.5575235742230012E-4</v>
      </c>
    </row>
    <row r="34" spans="1:19" ht="16" thickBot="1">
      <c r="A34" s="104">
        <v>16</v>
      </c>
      <c r="B34" s="105" t="s">
        <v>148</v>
      </c>
      <c r="C34" s="106"/>
      <c r="D34" s="107"/>
      <c r="E34" s="152">
        <f>E22+E23</f>
        <v>11.16</v>
      </c>
      <c r="F34" s="146" t="s">
        <v>15</v>
      </c>
      <c r="G34" s="132"/>
      <c r="H34" s="121">
        <v>35000</v>
      </c>
      <c r="I34" s="121">
        <f t="shared" si="10"/>
        <v>35000</v>
      </c>
      <c r="J34" s="121"/>
      <c r="K34" s="121">
        <f t="shared" si="12"/>
        <v>390600</v>
      </c>
      <c r="L34" s="120">
        <f t="shared" si="16"/>
        <v>390600</v>
      </c>
      <c r="M34" s="114">
        <v>3500</v>
      </c>
      <c r="N34" s="114">
        <v>10000</v>
      </c>
      <c r="O34" s="114">
        <v>5000</v>
      </c>
      <c r="P34" s="114">
        <v>5250</v>
      </c>
      <c r="Q34" s="166">
        <f t="shared" si="15"/>
        <v>55250</v>
      </c>
      <c r="R34" s="167">
        <f t="shared" si="13"/>
        <v>616590</v>
      </c>
      <c r="S34" s="221">
        <f t="shared" si="14"/>
        <v>4.3848242590447908E-4</v>
      </c>
    </row>
    <row r="35" spans="1:19" ht="16" thickBot="1">
      <c r="A35" s="104">
        <v>16</v>
      </c>
      <c r="B35" s="86" t="s">
        <v>150</v>
      </c>
      <c r="C35" s="101"/>
      <c r="D35" s="102"/>
      <c r="E35" s="151">
        <f>3.14*0.15*0.15*6*18</f>
        <v>7.6301999999999985</v>
      </c>
      <c r="F35" s="140" t="s">
        <v>15</v>
      </c>
      <c r="G35" s="131">
        <f>650000+(650000*10%)</f>
        <v>715000</v>
      </c>
      <c r="H35" s="120">
        <v>300000</v>
      </c>
      <c r="I35" s="120">
        <f t="shared" ref="I35:I58" si="17">H35+G35</f>
        <v>1015000</v>
      </c>
      <c r="J35" s="120">
        <f t="shared" ref="J35:J58" si="18">E35*G35</f>
        <v>5455592.9999999991</v>
      </c>
      <c r="K35" s="120">
        <f t="shared" ref="K35:K58" si="19">E35*H35</f>
        <v>2289059.9999999995</v>
      </c>
      <c r="L35" s="120">
        <f t="shared" ref="L35:L58" si="20">K35+J35</f>
        <v>7744652.9999999981</v>
      </c>
      <c r="M35" s="114"/>
      <c r="N35" s="114"/>
      <c r="O35" s="114"/>
      <c r="P35" s="114">
        <v>152250</v>
      </c>
      <c r="Q35" s="166">
        <f t="shared" ref="Q35:Q58" si="21">I35+M35+N35+O35+P35</f>
        <v>1167250</v>
      </c>
      <c r="R35" s="167">
        <f t="shared" ref="R35:R58" si="22">Q35*E35</f>
        <v>8906350.9499999974</v>
      </c>
      <c r="S35" s="221">
        <f t="shared" si="14"/>
        <v>6.3336712734761522E-3</v>
      </c>
    </row>
    <row r="36" spans="1:19">
      <c r="A36" s="94">
        <f t="shared" ref="A36:A58" si="23">A35+1</f>
        <v>17</v>
      </c>
      <c r="B36" s="86" t="s">
        <v>151</v>
      </c>
      <c r="C36" s="101"/>
      <c r="D36" s="102"/>
      <c r="E36" s="151">
        <f>3.14*0.1*0.1*4*42</f>
        <v>5.2752000000000008</v>
      </c>
      <c r="F36" s="140" t="s">
        <v>15</v>
      </c>
      <c r="G36" s="131">
        <f>G35</f>
        <v>715000</v>
      </c>
      <c r="H36" s="120">
        <v>300000</v>
      </c>
      <c r="I36" s="120">
        <f t="shared" si="17"/>
        <v>1015000</v>
      </c>
      <c r="J36" s="120">
        <f t="shared" si="18"/>
        <v>3771768.0000000005</v>
      </c>
      <c r="K36" s="120">
        <f t="shared" si="19"/>
        <v>1582560.0000000002</v>
      </c>
      <c r="L36" s="120">
        <f t="shared" si="20"/>
        <v>5354328.0000000009</v>
      </c>
      <c r="M36" s="114"/>
      <c r="N36" s="114"/>
      <c r="O36" s="114"/>
      <c r="P36" s="114">
        <v>152250</v>
      </c>
      <c r="Q36" s="166">
        <f t="shared" si="21"/>
        <v>1167250</v>
      </c>
      <c r="R36" s="167">
        <f t="shared" si="22"/>
        <v>6157477.2000000011</v>
      </c>
      <c r="S36" s="221">
        <f t="shared" si="14"/>
        <v>4.3788344606748722E-3</v>
      </c>
    </row>
    <row r="37" spans="1:19">
      <c r="A37" s="94">
        <f t="shared" si="23"/>
        <v>18</v>
      </c>
      <c r="B37" s="86" t="s">
        <v>102</v>
      </c>
      <c r="C37" s="101"/>
      <c r="D37" s="102"/>
      <c r="E37" s="151">
        <v>877.61</v>
      </c>
      <c r="F37" s="140" t="s">
        <v>72</v>
      </c>
      <c r="G37" s="131">
        <f>8400+(8400*10%)</f>
        <v>9240</v>
      </c>
      <c r="H37" s="120">
        <v>2000</v>
      </c>
      <c r="I37" s="120">
        <f t="shared" si="17"/>
        <v>11240</v>
      </c>
      <c r="J37" s="120">
        <f t="shared" si="18"/>
        <v>8109116.4000000004</v>
      </c>
      <c r="K37" s="120">
        <f t="shared" si="19"/>
        <v>1755220</v>
      </c>
      <c r="L37" s="120">
        <f t="shared" si="20"/>
        <v>9864336.4000000004</v>
      </c>
      <c r="M37" s="114"/>
      <c r="N37" s="114"/>
      <c r="O37" s="114"/>
      <c r="P37" s="114">
        <v>1686</v>
      </c>
      <c r="Q37" s="166">
        <f t="shared" si="21"/>
        <v>12926</v>
      </c>
      <c r="R37" s="167">
        <f t="shared" si="22"/>
        <v>11343986.859999999</v>
      </c>
      <c r="S37" s="221">
        <f t="shared" si="14"/>
        <v>8.0671740991604367E-3</v>
      </c>
    </row>
    <row r="38" spans="1:19">
      <c r="A38" s="94">
        <f t="shared" si="23"/>
        <v>19</v>
      </c>
      <c r="B38" s="86" t="s">
        <v>103</v>
      </c>
      <c r="C38" s="101"/>
      <c r="D38" s="102"/>
      <c r="E38" s="151">
        <v>1411.64</v>
      </c>
      <c r="F38" s="140" t="s">
        <v>72</v>
      </c>
      <c r="G38" s="131">
        <f>G37</f>
        <v>9240</v>
      </c>
      <c r="H38" s="120">
        <v>2000</v>
      </c>
      <c r="I38" s="120">
        <f t="shared" si="17"/>
        <v>11240</v>
      </c>
      <c r="J38" s="120">
        <f t="shared" si="18"/>
        <v>13043553.600000001</v>
      </c>
      <c r="K38" s="120">
        <f t="shared" si="19"/>
        <v>2823280</v>
      </c>
      <c r="L38" s="120">
        <f t="shared" si="20"/>
        <v>15866833.600000001</v>
      </c>
      <c r="M38" s="114"/>
      <c r="N38" s="114"/>
      <c r="O38" s="114"/>
      <c r="P38" s="114">
        <v>1686</v>
      </c>
      <c r="Q38" s="166">
        <f t="shared" si="21"/>
        <v>12926</v>
      </c>
      <c r="R38" s="167">
        <f t="shared" si="22"/>
        <v>18246858.640000001</v>
      </c>
      <c r="S38" s="221">
        <f t="shared" si="14"/>
        <v>1.2976089202879229E-2</v>
      </c>
    </row>
    <row r="39" spans="1:19">
      <c r="A39" s="94">
        <f t="shared" si="23"/>
        <v>20</v>
      </c>
      <c r="B39" s="86" t="s">
        <v>104</v>
      </c>
      <c r="C39" s="101"/>
      <c r="D39" s="102"/>
      <c r="E39" s="151">
        <f>'[40]VOLUME PC'!G16</f>
        <v>5.3999999999999995</v>
      </c>
      <c r="F39" s="140" t="s">
        <v>15</v>
      </c>
      <c r="G39" s="131">
        <f>G36</f>
        <v>715000</v>
      </c>
      <c r="H39" s="120">
        <v>300000</v>
      </c>
      <c r="I39" s="120">
        <f t="shared" si="17"/>
        <v>1015000</v>
      </c>
      <c r="J39" s="120">
        <f t="shared" si="18"/>
        <v>3860999.9999999995</v>
      </c>
      <c r="K39" s="120">
        <f t="shared" si="19"/>
        <v>1619999.9999999998</v>
      </c>
      <c r="L39" s="120">
        <f t="shared" si="20"/>
        <v>5480999.9999999991</v>
      </c>
      <c r="M39" s="114"/>
      <c r="N39" s="114"/>
      <c r="O39" s="114"/>
      <c r="P39" s="114">
        <v>152250</v>
      </c>
      <c r="Q39" s="166">
        <f t="shared" si="21"/>
        <v>1167250</v>
      </c>
      <c r="R39" s="167">
        <f t="shared" si="22"/>
        <v>6303149.9999999991</v>
      </c>
      <c r="S39" s="221">
        <f t="shared" si="14"/>
        <v>4.4824283605634481E-3</v>
      </c>
    </row>
    <row r="40" spans="1:19">
      <c r="A40" s="94">
        <f t="shared" si="23"/>
        <v>21</v>
      </c>
      <c r="B40" s="86" t="s">
        <v>105</v>
      </c>
      <c r="C40" s="101"/>
      <c r="D40" s="102"/>
      <c r="E40" s="151">
        <f>'[40]VOLUME PC'!G17</f>
        <v>7.4880000000000013</v>
      </c>
      <c r="F40" s="140" t="s">
        <v>15</v>
      </c>
      <c r="G40" s="131">
        <v>715000</v>
      </c>
      <c r="H40" s="120">
        <v>300000</v>
      </c>
      <c r="I40" s="120">
        <f t="shared" si="17"/>
        <v>1015000</v>
      </c>
      <c r="J40" s="120">
        <f t="shared" si="18"/>
        <v>5353920.0000000009</v>
      </c>
      <c r="K40" s="120">
        <f t="shared" si="19"/>
        <v>2246400.0000000005</v>
      </c>
      <c r="L40" s="120">
        <f t="shared" si="20"/>
        <v>7600320.0000000019</v>
      </c>
      <c r="M40" s="114"/>
      <c r="N40" s="114"/>
      <c r="O40" s="114"/>
      <c r="P40" s="114">
        <v>152250</v>
      </c>
      <c r="Q40" s="166">
        <f t="shared" si="21"/>
        <v>1167250</v>
      </c>
      <c r="R40" s="167">
        <f t="shared" si="22"/>
        <v>8740368.0000000019</v>
      </c>
      <c r="S40" s="221">
        <f t="shared" si="14"/>
        <v>6.2156339933146509E-3</v>
      </c>
    </row>
    <row r="41" spans="1:19">
      <c r="A41" s="94">
        <f t="shared" si="23"/>
        <v>22</v>
      </c>
      <c r="B41" s="86" t="s">
        <v>108</v>
      </c>
      <c r="C41" s="101"/>
      <c r="D41" s="102"/>
      <c r="E41" s="151">
        <v>588.6</v>
      </c>
      <c r="F41" s="140" t="s">
        <v>72</v>
      </c>
      <c r="G41" s="131">
        <f>G38</f>
        <v>9240</v>
      </c>
      <c r="H41" s="120">
        <v>2000</v>
      </c>
      <c r="I41" s="120">
        <f t="shared" si="17"/>
        <v>11240</v>
      </c>
      <c r="J41" s="120">
        <f t="shared" si="18"/>
        <v>5438664</v>
      </c>
      <c r="K41" s="120">
        <f t="shared" si="19"/>
        <v>1177200</v>
      </c>
      <c r="L41" s="120">
        <f t="shared" si="20"/>
        <v>6615864</v>
      </c>
      <c r="M41" s="114"/>
      <c r="N41" s="114"/>
      <c r="O41" s="114"/>
      <c r="P41" s="114">
        <v>1686</v>
      </c>
      <c r="Q41" s="166">
        <f t="shared" si="21"/>
        <v>12926</v>
      </c>
      <c r="R41" s="167">
        <f t="shared" si="22"/>
        <v>7608243.6000000006</v>
      </c>
      <c r="S41" s="221">
        <f t="shared" si="14"/>
        <v>5.4105339214068132E-3</v>
      </c>
    </row>
    <row r="42" spans="1:19">
      <c r="A42" s="94">
        <f t="shared" si="23"/>
        <v>23</v>
      </c>
      <c r="B42" s="86" t="s">
        <v>109</v>
      </c>
      <c r="C42" s="101"/>
      <c r="D42" s="102"/>
      <c r="E42" s="151">
        <v>900.25</v>
      </c>
      <c r="F42" s="140" t="s">
        <v>72</v>
      </c>
      <c r="G42" s="131">
        <v>9240</v>
      </c>
      <c r="H42" s="120">
        <v>2000</v>
      </c>
      <c r="I42" s="120">
        <f t="shared" si="17"/>
        <v>11240</v>
      </c>
      <c r="J42" s="120">
        <f t="shared" si="18"/>
        <v>8318310</v>
      </c>
      <c r="K42" s="120">
        <f t="shared" si="19"/>
        <v>1800500</v>
      </c>
      <c r="L42" s="120">
        <f t="shared" si="20"/>
        <v>10118810</v>
      </c>
      <c r="M42" s="114"/>
      <c r="N42" s="114"/>
      <c r="O42" s="114"/>
      <c r="P42" s="114">
        <v>1686</v>
      </c>
      <c r="Q42" s="166">
        <f t="shared" si="21"/>
        <v>12926</v>
      </c>
      <c r="R42" s="167">
        <f t="shared" si="22"/>
        <v>11636631.5</v>
      </c>
      <c r="S42" s="221">
        <f t="shared" si="14"/>
        <v>8.2752856995353102E-3</v>
      </c>
    </row>
    <row r="43" spans="1:19">
      <c r="A43" s="94">
        <f t="shared" si="23"/>
        <v>24</v>
      </c>
      <c r="B43" s="86" t="s">
        <v>110</v>
      </c>
      <c r="C43" s="101"/>
      <c r="D43" s="102"/>
      <c r="E43" s="151">
        <f>'[40]VOLUME PC'!I10</f>
        <v>39.6</v>
      </c>
      <c r="F43" s="140" t="s">
        <v>14</v>
      </c>
      <c r="G43" s="131">
        <v>102000</v>
      </c>
      <c r="H43" s="120">
        <v>40000</v>
      </c>
      <c r="I43" s="120">
        <f t="shared" si="17"/>
        <v>142000</v>
      </c>
      <c r="J43" s="120">
        <f t="shared" si="18"/>
        <v>4039200</v>
      </c>
      <c r="K43" s="120">
        <f t="shared" si="19"/>
        <v>1584000</v>
      </c>
      <c r="L43" s="120">
        <f t="shared" si="20"/>
        <v>5623200</v>
      </c>
      <c r="M43" s="114"/>
      <c r="N43" s="114"/>
      <c r="O43" s="114"/>
      <c r="P43" s="114">
        <v>21300</v>
      </c>
      <c r="Q43" s="166">
        <f t="shared" si="21"/>
        <v>163300</v>
      </c>
      <c r="R43" s="167">
        <f t="shared" si="22"/>
        <v>6466680</v>
      </c>
      <c r="S43" s="221">
        <f t="shared" si="14"/>
        <v>4.5987212474220742E-3</v>
      </c>
    </row>
    <row r="44" spans="1:19">
      <c r="A44" s="94">
        <f t="shared" si="23"/>
        <v>25</v>
      </c>
      <c r="B44" s="86" t="s">
        <v>111</v>
      </c>
      <c r="C44" s="101"/>
      <c r="D44" s="102"/>
      <c r="E44" s="151">
        <f>'[40]VOLUME PC'!I11</f>
        <v>62.400000000000006</v>
      </c>
      <c r="F44" s="140" t="s">
        <v>14</v>
      </c>
      <c r="G44" s="131">
        <v>102000</v>
      </c>
      <c r="H44" s="120">
        <v>40000</v>
      </c>
      <c r="I44" s="120">
        <f t="shared" si="17"/>
        <v>142000</v>
      </c>
      <c r="J44" s="120">
        <f t="shared" si="18"/>
        <v>6364800.0000000009</v>
      </c>
      <c r="K44" s="120">
        <f t="shared" si="19"/>
        <v>2496000</v>
      </c>
      <c r="L44" s="120">
        <f t="shared" si="20"/>
        <v>8860800</v>
      </c>
      <c r="M44" s="114"/>
      <c r="N44" s="114"/>
      <c r="O44" s="114"/>
      <c r="P44" s="114">
        <v>21300</v>
      </c>
      <c r="Q44" s="166">
        <f t="shared" si="21"/>
        <v>163300</v>
      </c>
      <c r="R44" s="167">
        <f t="shared" si="22"/>
        <v>10189920</v>
      </c>
      <c r="S44" s="221">
        <f t="shared" si="14"/>
        <v>7.2464698444226622E-3</v>
      </c>
    </row>
    <row r="45" spans="1:19">
      <c r="A45" s="94">
        <f t="shared" si="23"/>
        <v>26</v>
      </c>
      <c r="B45" s="86" t="s">
        <v>152</v>
      </c>
      <c r="C45" s="101"/>
      <c r="D45" s="102"/>
      <c r="E45" s="151">
        <v>326.20999999999998</v>
      </c>
      <c r="F45" s="140" t="s">
        <v>14</v>
      </c>
      <c r="G45" s="131">
        <v>70000</v>
      </c>
      <c r="H45" s="120">
        <v>3000</v>
      </c>
      <c r="I45" s="120">
        <f t="shared" si="17"/>
        <v>73000</v>
      </c>
      <c r="J45" s="120">
        <f t="shared" si="18"/>
        <v>22834700</v>
      </c>
      <c r="K45" s="120">
        <f t="shared" si="19"/>
        <v>978629.99999999988</v>
      </c>
      <c r="L45" s="120">
        <f t="shared" si="20"/>
        <v>23813330</v>
      </c>
      <c r="M45" s="114"/>
      <c r="N45" s="114"/>
      <c r="O45" s="114"/>
      <c r="P45" s="114">
        <v>10950</v>
      </c>
      <c r="Q45" s="166">
        <f t="shared" si="21"/>
        <v>83950</v>
      </c>
      <c r="R45" s="167">
        <f t="shared" si="22"/>
        <v>27385329.5</v>
      </c>
      <c r="S45" s="221">
        <f t="shared" si="14"/>
        <v>1.9474830460035834E-2</v>
      </c>
    </row>
    <row r="46" spans="1:19">
      <c r="A46" s="94">
        <f t="shared" si="23"/>
        <v>27</v>
      </c>
      <c r="B46" s="86" t="s">
        <v>153</v>
      </c>
      <c r="C46" s="101"/>
      <c r="D46" s="102"/>
      <c r="E46" s="151">
        <f>'[40]Volume Wiremesh &amp; Lantai'!G3</f>
        <v>39.145199999999996</v>
      </c>
      <c r="F46" s="140" t="s">
        <v>15</v>
      </c>
      <c r="G46" s="131">
        <v>715000</v>
      </c>
      <c r="H46" s="120">
        <v>300000</v>
      </c>
      <c r="I46" s="120">
        <f t="shared" si="17"/>
        <v>1015000</v>
      </c>
      <c r="J46" s="120">
        <f t="shared" si="18"/>
        <v>27988817.999999996</v>
      </c>
      <c r="K46" s="120">
        <f t="shared" si="19"/>
        <v>11743559.999999998</v>
      </c>
      <c r="L46" s="120">
        <f t="shared" si="20"/>
        <v>39732377.999999993</v>
      </c>
      <c r="M46" s="114"/>
      <c r="N46" s="114"/>
      <c r="O46" s="114"/>
      <c r="P46" s="114">
        <v>152250</v>
      </c>
      <c r="Q46" s="166">
        <f t="shared" si="21"/>
        <v>1167250</v>
      </c>
      <c r="R46" s="167">
        <f t="shared" si="22"/>
        <v>45692234.699999996</v>
      </c>
      <c r="S46" s="221">
        <f t="shared" si="14"/>
        <v>3.2493621233320058E-2</v>
      </c>
    </row>
    <row r="47" spans="1:19">
      <c r="A47" s="94">
        <f t="shared" si="23"/>
        <v>28</v>
      </c>
      <c r="B47" s="86" t="s">
        <v>112</v>
      </c>
      <c r="C47" s="101"/>
      <c r="D47" s="102"/>
      <c r="E47" s="151">
        <f>'[40]VOLUME BP &amp; GALIAN'!T61</f>
        <v>14.410399999999999</v>
      </c>
      <c r="F47" s="140" t="s">
        <v>15</v>
      </c>
      <c r="G47" s="131">
        <v>715000</v>
      </c>
      <c r="H47" s="120">
        <v>300000</v>
      </c>
      <c r="I47" s="120">
        <f t="shared" si="17"/>
        <v>1015000</v>
      </c>
      <c r="J47" s="120">
        <f t="shared" si="18"/>
        <v>10303436</v>
      </c>
      <c r="K47" s="120">
        <f t="shared" si="19"/>
        <v>4323120</v>
      </c>
      <c r="L47" s="120">
        <f t="shared" si="20"/>
        <v>14626556</v>
      </c>
      <c r="M47" s="114"/>
      <c r="N47" s="114"/>
      <c r="O47" s="114"/>
      <c r="P47" s="114">
        <v>152250</v>
      </c>
      <c r="Q47" s="166">
        <f t="shared" si="21"/>
        <v>1167250</v>
      </c>
      <c r="R47" s="167">
        <f t="shared" si="22"/>
        <v>16820539.399999999</v>
      </c>
      <c r="S47" s="221">
        <f t="shared" si="14"/>
        <v>1.1961775119826578E-2</v>
      </c>
    </row>
    <row r="48" spans="1:19">
      <c r="A48" s="94">
        <f t="shared" si="23"/>
        <v>29</v>
      </c>
      <c r="B48" s="86" t="s">
        <v>113</v>
      </c>
      <c r="C48" s="101"/>
      <c r="D48" s="102"/>
      <c r="E48" s="151">
        <f>'[40]VOLUME BP &amp; GALIAN'!T76</f>
        <v>7.9931249999999991</v>
      </c>
      <c r="F48" s="140" t="s">
        <v>15</v>
      </c>
      <c r="G48" s="131">
        <f>G45</f>
        <v>70000</v>
      </c>
      <c r="H48" s="120">
        <v>300000</v>
      </c>
      <c r="I48" s="120">
        <f t="shared" si="17"/>
        <v>370000</v>
      </c>
      <c r="J48" s="120">
        <f t="shared" si="18"/>
        <v>559518.74999999988</v>
      </c>
      <c r="K48" s="120">
        <f t="shared" si="19"/>
        <v>2397937.4999999995</v>
      </c>
      <c r="L48" s="120">
        <f t="shared" si="20"/>
        <v>2957456.2499999995</v>
      </c>
      <c r="M48" s="114"/>
      <c r="N48" s="114"/>
      <c r="O48" s="114"/>
      <c r="P48" s="114">
        <v>55500</v>
      </c>
      <c r="Q48" s="166">
        <f t="shared" si="21"/>
        <v>425500</v>
      </c>
      <c r="R48" s="167">
        <f t="shared" si="22"/>
        <v>3401074.6874999995</v>
      </c>
      <c r="S48" s="221">
        <f t="shared" si="14"/>
        <v>2.418643636220694E-3</v>
      </c>
    </row>
    <row r="49" spans="1:19">
      <c r="A49" s="94">
        <f t="shared" si="23"/>
        <v>30</v>
      </c>
      <c r="B49" s="86" t="s">
        <v>114</v>
      </c>
      <c r="C49" s="101"/>
      <c r="D49" s="102"/>
      <c r="E49" s="151">
        <f>'[40]VOLUME BP &amp; GALIAN'!T109</f>
        <v>3.7159199999999997</v>
      </c>
      <c r="F49" s="140" t="s">
        <v>15</v>
      </c>
      <c r="G49" s="131">
        <f>G46</f>
        <v>715000</v>
      </c>
      <c r="H49" s="120">
        <v>300000</v>
      </c>
      <c r="I49" s="120">
        <f t="shared" si="17"/>
        <v>1015000</v>
      </c>
      <c r="J49" s="120">
        <f t="shared" si="18"/>
        <v>2656882.7999999998</v>
      </c>
      <c r="K49" s="120">
        <f t="shared" si="19"/>
        <v>1114776</v>
      </c>
      <c r="L49" s="120">
        <f t="shared" si="20"/>
        <v>3771658.8</v>
      </c>
      <c r="M49" s="114"/>
      <c r="N49" s="114"/>
      <c r="O49" s="114"/>
      <c r="P49" s="114">
        <v>152250</v>
      </c>
      <c r="Q49" s="166">
        <f t="shared" si="21"/>
        <v>1167250</v>
      </c>
      <c r="R49" s="167">
        <f t="shared" si="22"/>
        <v>4337407.6199999992</v>
      </c>
      <c r="S49" s="221">
        <f t="shared" si="14"/>
        <v>3.0845083691823944E-3</v>
      </c>
    </row>
    <row r="50" spans="1:19">
      <c r="A50" s="94">
        <f t="shared" si="23"/>
        <v>31</v>
      </c>
      <c r="B50" s="86" t="s">
        <v>115</v>
      </c>
      <c r="C50" s="101"/>
      <c r="D50" s="102"/>
      <c r="E50" s="151">
        <f>'[40]TB, Balok, Kolom'!R2</f>
        <v>1525.64</v>
      </c>
      <c r="F50" s="140" t="s">
        <v>72</v>
      </c>
      <c r="G50" s="131">
        <v>9240</v>
      </c>
      <c r="H50" s="120">
        <v>2000</v>
      </c>
      <c r="I50" s="120">
        <f t="shared" si="17"/>
        <v>11240</v>
      </c>
      <c r="J50" s="120">
        <f t="shared" si="18"/>
        <v>14096913.600000001</v>
      </c>
      <c r="K50" s="120">
        <f t="shared" si="19"/>
        <v>3051280</v>
      </c>
      <c r="L50" s="120">
        <f t="shared" si="20"/>
        <v>17148193.600000001</v>
      </c>
      <c r="M50" s="114"/>
      <c r="N50" s="114"/>
      <c r="O50" s="114"/>
      <c r="P50" s="114">
        <v>1686</v>
      </c>
      <c r="Q50" s="166">
        <f t="shared" si="21"/>
        <v>12926</v>
      </c>
      <c r="R50" s="167">
        <f t="shared" si="22"/>
        <v>19720422.640000001</v>
      </c>
      <c r="S50" s="221">
        <f t="shared" si="14"/>
        <v>1.4024000971551293E-2</v>
      </c>
    </row>
    <row r="51" spans="1:19">
      <c r="A51" s="94">
        <f t="shared" si="23"/>
        <v>32</v>
      </c>
      <c r="B51" s="86" t="s">
        <v>116</v>
      </c>
      <c r="C51" s="101"/>
      <c r="D51" s="102"/>
      <c r="E51" s="151">
        <f>'[40]TB, Balok, Kolom'!R3</f>
        <v>641.28000000000009</v>
      </c>
      <c r="F51" s="140" t="s">
        <v>72</v>
      </c>
      <c r="G51" s="131">
        <v>9240</v>
      </c>
      <c r="H51" s="120">
        <v>2000</v>
      </c>
      <c r="I51" s="120">
        <f t="shared" si="17"/>
        <v>11240</v>
      </c>
      <c r="J51" s="120">
        <f t="shared" si="18"/>
        <v>5925427.2000000011</v>
      </c>
      <c r="K51" s="120">
        <f t="shared" si="19"/>
        <v>1282560.0000000002</v>
      </c>
      <c r="L51" s="120">
        <f t="shared" si="20"/>
        <v>7207987.2000000011</v>
      </c>
      <c r="M51" s="114"/>
      <c r="N51" s="114"/>
      <c r="O51" s="114"/>
      <c r="P51" s="114">
        <v>1686</v>
      </c>
      <c r="Q51" s="166">
        <f t="shared" si="21"/>
        <v>12926</v>
      </c>
      <c r="R51" s="167">
        <f t="shared" si="22"/>
        <v>8289185.2800000012</v>
      </c>
      <c r="S51" s="221">
        <f t="shared" si="14"/>
        <v>5.8947794650352726E-3</v>
      </c>
    </row>
    <row r="52" spans="1:19">
      <c r="A52" s="94">
        <f t="shared" si="23"/>
        <v>33</v>
      </c>
      <c r="B52" s="86" t="s">
        <v>117</v>
      </c>
      <c r="C52" s="101"/>
      <c r="D52" s="102"/>
      <c r="E52" s="151">
        <v>624.35</v>
      </c>
      <c r="F52" s="140" t="s">
        <v>72</v>
      </c>
      <c r="G52" s="131">
        <v>9240</v>
      </c>
      <c r="H52" s="120">
        <v>2000</v>
      </c>
      <c r="I52" s="120">
        <f t="shared" si="17"/>
        <v>11240</v>
      </c>
      <c r="J52" s="120">
        <f t="shared" si="18"/>
        <v>5768994</v>
      </c>
      <c r="K52" s="120">
        <f t="shared" si="19"/>
        <v>1248700</v>
      </c>
      <c r="L52" s="120">
        <f t="shared" si="20"/>
        <v>7017694</v>
      </c>
      <c r="M52" s="114"/>
      <c r="N52" s="114"/>
      <c r="O52" s="114"/>
      <c r="P52" s="114">
        <v>1686</v>
      </c>
      <c r="Q52" s="166">
        <f t="shared" si="21"/>
        <v>12926</v>
      </c>
      <c r="R52" s="167">
        <f t="shared" si="22"/>
        <v>8070348.1000000006</v>
      </c>
      <c r="S52" s="221">
        <f t="shared" si="14"/>
        <v>5.739155375178974E-3</v>
      </c>
    </row>
    <row r="53" spans="1:19">
      <c r="A53" s="94">
        <f t="shared" si="23"/>
        <v>34</v>
      </c>
      <c r="B53" s="86" t="s">
        <v>118</v>
      </c>
      <c r="C53" s="101"/>
      <c r="D53" s="102"/>
      <c r="E53" s="151">
        <f>'[40]VOLUME BP &amp; GALIAN'!M61</f>
        <v>144.10400000000004</v>
      </c>
      <c r="F53" s="140" t="s">
        <v>14</v>
      </c>
      <c r="G53" s="131">
        <v>102000</v>
      </c>
      <c r="H53" s="120">
        <v>40000</v>
      </c>
      <c r="I53" s="120">
        <f t="shared" si="17"/>
        <v>142000</v>
      </c>
      <c r="J53" s="120">
        <f t="shared" si="18"/>
        <v>14698608.000000004</v>
      </c>
      <c r="K53" s="120">
        <f t="shared" si="19"/>
        <v>5764160.0000000019</v>
      </c>
      <c r="L53" s="120">
        <f t="shared" si="20"/>
        <v>20462768.000000007</v>
      </c>
      <c r="M53" s="114"/>
      <c r="N53" s="114"/>
      <c r="O53" s="114"/>
      <c r="P53" s="114">
        <v>21300</v>
      </c>
      <c r="Q53" s="166">
        <f t="shared" si="21"/>
        <v>163300</v>
      </c>
      <c r="R53" s="167">
        <f t="shared" si="22"/>
        <v>23532183.200000007</v>
      </c>
      <c r="S53" s="221">
        <f t="shared" si="14"/>
        <v>1.6734700167639161E-2</v>
      </c>
    </row>
    <row r="54" spans="1:19">
      <c r="A54" s="94">
        <f t="shared" si="23"/>
        <v>35</v>
      </c>
      <c r="B54" s="86" t="s">
        <v>119</v>
      </c>
      <c r="C54" s="101"/>
      <c r="D54" s="102"/>
      <c r="E54" s="151">
        <f>'[40]VOLUME BP &amp; GALIAN'!M76</f>
        <v>63.944999999999993</v>
      </c>
      <c r="F54" s="140" t="s">
        <v>14</v>
      </c>
      <c r="G54" s="131">
        <v>102000</v>
      </c>
      <c r="H54" s="120">
        <v>40000</v>
      </c>
      <c r="I54" s="120">
        <f t="shared" si="17"/>
        <v>142000</v>
      </c>
      <c r="J54" s="120">
        <f t="shared" si="18"/>
        <v>6522389.9999999991</v>
      </c>
      <c r="K54" s="120">
        <f t="shared" si="19"/>
        <v>2557799.9999999995</v>
      </c>
      <c r="L54" s="120">
        <f t="shared" si="20"/>
        <v>9080189.9999999981</v>
      </c>
      <c r="M54" s="114"/>
      <c r="N54" s="114"/>
      <c r="O54" s="114"/>
      <c r="P54" s="114">
        <v>21300</v>
      </c>
      <c r="Q54" s="166">
        <f t="shared" si="21"/>
        <v>163300</v>
      </c>
      <c r="R54" s="167">
        <f t="shared" si="22"/>
        <v>10442218.499999998</v>
      </c>
      <c r="S54" s="221">
        <f t="shared" si="14"/>
        <v>7.4258896506667798E-3</v>
      </c>
    </row>
    <row r="55" spans="1:19">
      <c r="A55" s="94">
        <f t="shared" si="23"/>
        <v>36</v>
      </c>
      <c r="B55" s="86" t="s">
        <v>120</v>
      </c>
      <c r="C55" s="101"/>
      <c r="D55" s="102"/>
      <c r="E55" s="151">
        <f>'[40]VOLUME BP &amp; GALIAN'!M109</f>
        <v>57.168000000000006</v>
      </c>
      <c r="F55" s="140" t="s">
        <v>14</v>
      </c>
      <c r="G55" s="131">
        <v>102000</v>
      </c>
      <c r="H55" s="120">
        <v>40000</v>
      </c>
      <c r="I55" s="120">
        <f t="shared" si="17"/>
        <v>142000</v>
      </c>
      <c r="J55" s="120">
        <f t="shared" si="18"/>
        <v>5831136.0000000009</v>
      </c>
      <c r="K55" s="120">
        <f t="shared" si="19"/>
        <v>2286720.0000000005</v>
      </c>
      <c r="L55" s="120">
        <f t="shared" si="20"/>
        <v>8117856.0000000019</v>
      </c>
      <c r="M55" s="114"/>
      <c r="N55" s="114"/>
      <c r="O55" s="114"/>
      <c r="P55" s="114">
        <v>21300</v>
      </c>
      <c r="Q55" s="166">
        <f t="shared" si="21"/>
        <v>163300</v>
      </c>
      <c r="R55" s="167">
        <f t="shared" si="22"/>
        <v>9335534.4000000004</v>
      </c>
      <c r="S55" s="221">
        <f t="shared" si="14"/>
        <v>6.6388812190056852E-3</v>
      </c>
    </row>
    <row r="56" spans="1:19">
      <c r="A56" s="94">
        <f t="shared" si="23"/>
        <v>37</v>
      </c>
      <c r="B56" s="86" t="s">
        <v>154</v>
      </c>
      <c r="C56" s="101"/>
      <c r="D56" s="102"/>
      <c r="E56" s="151">
        <f>'[40]VOLUME PC'!U5</f>
        <v>770.4</v>
      </c>
      <c r="F56" s="140" t="s">
        <v>72</v>
      </c>
      <c r="G56" s="131">
        <v>9240</v>
      </c>
      <c r="H56" s="120">
        <v>2000</v>
      </c>
      <c r="I56" s="120">
        <f t="shared" si="17"/>
        <v>11240</v>
      </c>
      <c r="J56" s="120">
        <f t="shared" si="18"/>
        <v>7118496</v>
      </c>
      <c r="K56" s="120">
        <f t="shared" si="19"/>
        <v>1540800</v>
      </c>
      <c r="L56" s="120">
        <f t="shared" si="20"/>
        <v>8659296</v>
      </c>
      <c r="M56" s="114"/>
      <c r="N56" s="114"/>
      <c r="O56" s="114"/>
      <c r="P56" s="114">
        <v>1686</v>
      </c>
      <c r="Q56" s="166">
        <f t="shared" si="21"/>
        <v>12926</v>
      </c>
      <c r="R56" s="167">
        <f t="shared" si="22"/>
        <v>9958190.4000000004</v>
      </c>
      <c r="S56" s="221">
        <f t="shared" si="14"/>
        <v>7.0816774261838415E-3</v>
      </c>
    </row>
    <row r="57" spans="1:19">
      <c r="A57" s="94">
        <f t="shared" si="23"/>
        <v>38</v>
      </c>
      <c r="B57" s="86" t="s">
        <v>155</v>
      </c>
      <c r="C57" s="101"/>
      <c r="D57" s="102"/>
      <c r="E57" s="151">
        <f>'[40]VOLUME PC'!I12</f>
        <v>22.68</v>
      </c>
      <c r="F57" s="140" t="s">
        <v>14</v>
      </c>
      <c r="G57" s="131">
        <v>102000</v>
      </c>
      <c r="H57" s="120">
        <v>40000</v>
      </c>
      <c r="I57" s="120">
        <f t="shared" si="17"/>
        <v>142000</v>
      </c>
      <c r="J57" s="120">
        <f t="shared" si="18"/>
        <v>2313360</v>
      </c>
      <c r="K57" s="120">
        <f t="shared" si="19"/>
        <v>907200</v>
      </c>
      <c r="L57" s="120">
        <f t="shared" si="20"/>
        <v>3220560</v>
      </c>
      <c r="M57" s="114"/>
      <c r="N57" s="114"/>
      <c r="O57" s="114"/>
      <c r="P57" s="114">
        <v>21300</v>
      </c>
      <c r="Q57" s="166">
        <f t="shared" si="21"/>
        <v>163300</v>
      </c>
      <c r="R57" s="167">
        <f t="shared" si="22"/>
        <v>3703644</v>
      </c>
      <c r="S57" s="221">
        <f t="shared" si="14"/>
        <v>2.6338130780690062E-3</v>
      </c>
    </row>
    <row r="58" spans="1:19" ht="16" thickBot="1">
      <c r="A58" s="189">
        <f t="shared" si="23"/>
        <v>39</v>
      </c>
      <c r="B58" s="93" t="s">
        <v>156</v>
      </c>
      <c r="C58" s="190"/>
      <c r="D58" s="191"/>
      <c r="E58" s="157">
        <f>'[40]VOLUME PC'!G18</f>
        <v>2.2679999999999998</v>
      </c>
      <c r="F58" s="158" t="s">
        <v>15</v>
      </c>
      <c r="G58" s="192">
        <v>715000</v>
      </c>
      <c r="H58" s="193">
        <v>300000</v>
      </c>
      <c r="I58" s="193">
        <f t="shared" si="17"/>
        <v>1015000</v>
      </c>
      <c r="J58" s="193">
        <f t="shared" si="18"/>
        <v>1621619.9999999998</v>
      </c>
      <c r="K58" s="193">
        <f t="shared" si="19"/>
        <v>680399.99999999988</v>
      </c>
      <c r="L58" s="193">
        <f t="shared" si="20"/>
        <v>2302019.9999999995</v>
      </c>
      <c r="M58" s="114"/>
      <c r="N58" s="114"/>
      <c r="O58" s="114"/>
      <c r="P58" s="114">
        <v>152250</v>
      </c>
      <c r="Q58" s="194">
        <f t="shared" si="21"/>
        <v>1167250</v>
      </c>
      <c r="R58" s="195">
        <f t="shared" si="22"/>
        <v>2647322.9999999995</v>
      </c>
      <c r="S58" s="221">
        <f t="shared" si="14"/>
        <v>1.8826199114366482E-3</v>
      </c>
    </row>
    <row r="59" spans="1:19">
      <c r="A59" s="196"/>
      <c r="B59" s="197" t="s">
        <v>149</v>
      </c>
      <c r="C59" s="198"/>
      <c r="D59" s="199"/>
      <c r="E59" s="200"/>
      <c r="F59" s="201"/>
      <c r="G59" s="202"/>
      <c r="H59" s="203"/>
      <c r="I59" s="203"/>
      <c r="J59" s="203"/>
      <c r="K59" s="203"/>
      <c r="L59" s="204">
        <f>SUM(L22:L58)</f>
        <v>257159465.42499998</v>
      </c>
      <c r="M59" s="205"/>
      <c r="N59" s="205"/>
      <c r="O59" s="205"/>
      <c r="P59" s="205"/>
      <c r="Q59" s="206" t="s">
        <v>178</v>
      </c>
      <c r="R59" s="207">
        <f>SUM(R22:R58)</f>
        <v>297023506.06374991</v>
      </c>
    </row>
    <row r="60" spans="1:19">
      <c r="A60" s="63"/>
      <c r="B60" s="63"/>
      <c r="C60" s="61"/>
      <c r="D60" s="64"/>
      <c r="E60" s="147"/>
      <c r="F60" s="148"/>
      <c r="G60" s="134"/>
      <c r="H60" s="130"/>
      <c r="I60" s="119"/>
      <c r="J60" s="119"/>
      <c r="K60" s="119"/>
      <c r="L60" s="119"/>
      <c r="Q60" s="165"/>
      <c r="R60" s="165"/>
    </row>
    <row r="61" spans="1:19">
      <c r="A61" s="63"/>
      <c r="B61" s="63"/>
      <c r="C61" s="61"/>
      <c r="D61" s="64"/>
      <c r="E61" s="137"/>
      <c r="F61" s="138"/>
      <c r="G61" s="127"/>
      <c r="H61" s="116"/>
      <c r="I61" s="116"/>
      <c r="J61" s="116"/>
      <c r="K61" s="116"/>
      <c r="L61" s="116"/>
      <c r="Q61" s="165"/>
      <c r="R61" s="165"/>
    </row>
    <row r="62" spans="1:19">
      <c r="A62" s="85" t="s">
        <v>6</v>
      </c>
      <c r="B62" s="95" t="s">
        <v>7</v>
      </c>
      <c r="C62" s="162"/>
      <c r="D62" s="163"/>
      <c r="E62" s="149"/>
      <c r="F62" s="150"/>
      <c r="G62" s="131"/>
      <c r="H62" s="120"/>
      <c r="I62" s="120"/>
      <c r="J62" s="120"/>
      <c r="K62" s="120"/>
      <c r="L62" s="120"/>
      <c r="Q62" s="165"/>
      <c r="R62" s="165"/>
    </row>
    <row r="63" spans="1:19">
      <c r="A63" s="94">
        <f>A58+1</f>
        <v>40</v>
      </c>
      <c r="B63" s="86" t="s">
        <v>127</v>
      </c>
      <c r="C63" s="101"/>
      <c r="D63" s="102"/>
      <c r="E63" s="151">
        <f>'[40]TB, Balok, Kolom'!N28</f>
        <v>1062.5</v>
      </c>
      <c r="F63" s="140" t="s">
        <v>72</v>
      </c>
      <c r="G63" s="131">
        <v>9240</v>
      </c>
      <c r="H63" s="120">
        <v>2000</v>
      </c>
      <c r="I63" s="120">
        <f t="shared" ref="I63:I83" si="24">H63+G63</f>
        <v>11240</v>
      </c>
      <c r="J63" s="120">
        <f t="shared" ref="J63:J83" si="25">E63*G63</f>
        <v>9817500</v>
      </c>
      <c r="K63" s="120">
        <f t="shared" ref="K63:K83" si="26">E63*H63</f>
        <v>2125000</v>
      </c>
      <c r="L63" s="120">
        <f t="shared" ref="L63:L83" si="27">K63+J63</f>
        <v>11942500</v>
      </c>
      <c r="M63" s="114"/>
      <c r="N63" s="114"/>
      <c r="O63" s="114"/>
      <c r="P63" s="114">
        <v>1686</v>
      </c>
      <c r="Q63" s="166">
        <f t="shared" ref="Q63:Q83" si="28">I63+M63+N63+O63+P63</f>
        <v>12926</v>
      </c>
      <c r="R63" s="167">
        <f t="shared" ref="R63:R83" si="29">Q63*E63</f>
        <v>13733875</v>
      </c>
      <c r="S63" s="221">
        <f t="shared" ref="S63:S83" si="30">R63/$R$3</f>
        <v>9.7667215281935765E-3</v>
      </c>
    </row>
    <row r="64" spans="1:19">
      <c r="A64" s="94">
        <f t="shared" ref="A64:A83" si="31">A63+1</f>
        <v>41</v>
      </c>
      <c r="B64" s="86" t="s">
        <v>128</v>
      </c>
      <c r="C64" s="101"/>
      <c r="D64" s="102"/>
      <c r="E64" s="151">
        <f>'[40]TB, Balok, Kolom'!O28</f>
        <v>144.47999999999999</v>
      </c>
      <c r="F64" s="140" t="s">
        <v>14</v>
      </c>
      <c r="G64" s="131">
        <v>102000</v>
      </c>
      <c r="H64" s="120">
        <v>40000</v>
      </c>
      <c r="I64" s="120">
        <f t="shared" si="24"/>
        <v>142000</v>
      </c>
      <c r="J64" s="120">
        <f t="shared" si="25"/>
        <v>14736959.999999998</v>
      </c>
      <c r="K64" s="120">
        <f t="shared" si="26"/>
        <v>5779200</v>
      </c>
      <c r="L64" s="120">
        <f t="shared" si="27"/>
        <v>20516160</v>
      </c>
      <c r="M64" s="114"/>
      <c r="N64" s="114"/>
      <c r="O64" s="114"/>
      <c r="P64" s="114">
        <v>21300</v>
      </c>
      <c r="Q64" s="166">
        <f t="shared" si="28"/>
        <v>163300</v>
      </c>
      <c r="R64" s="167">
        <f t="shared" si="29"/>
        <v>23593584</v>
      </c>
      <c r="S64" s="221">
        <f t="shared" si="30"/>
        <v>1.6778364793624777E-2</v>
      </c>
    </row>
    <row r="65" spans="1:19">
      <c r="A65" s="94">
        <f t="shared" si="31"/>
        <v>42</v>
      </c>
      <c r="B65" s="86" t="s">
        <v>139</v>
      </c>
      <c r="C65" s="101"/>
      <c r="D65" s="102"/>
      <c r="E65" s="151">
        <f>'[40]TB, Balok, Kolom'!P28</f>
        <v>6.5519999999999996</v>
      </c>
      <c r="F65" s="140" t="s">
        <v>15</v>
      </c>
      <c r="G65" s="131">
        <f>G68</f>
        <v>940500</v>
      </c>
      <c r="H65" s="120">
        <v>300000</v>
      </c>
      <c r="I65" s="120">
        <f t="shared" si="24"/>
        <v>1240500</v>
      </c>
      <c r="J65" s="120">
        <f t="shared" si="25"/>
        <v>6162156</v>
      </c>
      <c r="K65" s="120">
        <f t="shared" si="26"/>
        <v>1965599.9999999998</v>
      </c>
      <c r="L65" s="120">
        <f t="shared" si="27"/>
        <v>8127756</v>
      </c>
      <c r="M65" s="114"/>
      <c r="N65" s="114"/>
      <c r="O65" s="114"/>
      <c r="P65" s="114">
        <v>186075</v>
      </c>
      <c r="Q65" s="166">
        <f t="shared" si="28"/>
        <v>1426575</v>
      </c>
      <c r="R65" s="167">
        <f t="shared" si="29"/>
        <v>9346919.3999999985</v>
      </c>
      <c r="S65" s="221">
        <f t="shared" si="30"/>
        <v>6.6469775592300183E-3</v>
      </c>
    </row>
    <row r="66" spans="1:19">
      <c r="A66" s="94">
        <f t="shared" si="31"/>
        <v>43</v>
      </c>
      <c r="B66" s="86" t="s">
        <v>129</v>
      </c>
      <c r="C66" s="101"/>
      <c r="D66" s="102"/>
      <c r="E66" s="151">
        <f>'[40]TB, Balok, Kolom'!N29</f>
        <v>387.5</v>
      </c>
      <c r="F66" s="140" t="s">
        <v>72</v>
      </c>
      <c r="G66" s="131">
        <v>9240</v>
      </c>
      <c r="H66" s="120">
        <v>2000</v>
      </c>
      <c r="I66" s="120">
        <f t="shared" si="24"/>
        <v>11240</v>
      </c>
      <c r="J66" s="120">
        <f t="shared" si="25"/>
        <v>3580500</v>
      </c>
      <c r="K66" s="120">
        <f t="shared" si="26"/>
        <v>775000</v>
      </c>
      <c r="L66" s="120">
        <f t="shared" si="27"/>
        <v>4355500</v>
      </c>
      <c r="M66" s="114"/>
      <c r="N66" s="114"/>
      <c r="O66" s="114"/>
      <c r="P66" s="114">
        <v>1686</v>
      </c>
      <c r="Q66" s="166">
        <f t="shared" si="28"/>
        <v>12926</v>
      </c>
      <c r="R66" s="167">
        <f t="shared" si="29"/>
        <v>5008825</v>
      </c>
      <c r="S66" s="221">
        <f t="shared" si="30"/>
        <v>3.5619807926353044E-3</v>
      </c>
    </row>
    <row r="67" spans="1:19">
      <c r="A67" s="94">
        <f t="shared" si="31"/>
        <v>44</v>
      </c>
      <c r="B67" s="86" t="s">
        <v>130</v>
      </c>
      <c r="C67" s="101"/>
      <c r="D67" s="102"/>
      <c r="E67" s="151">
        <f>'[40]TB, Balok, Kolom'!O29</f>
        <v>69.599999999999994</v>
      </c>
      <c r="F67" s="140" t="s">
        <v>14</v>
      </c>
      <c r="G67" s="131">
        <v>102000</v>
      </c>
      <c r="H67" s="120">
        <v>40000</v>
      </c>
      <c r="I67" s="120">
        <f t="shared" si="24"/>
        <v>142000</v>
      </c>
      <c r="J67" s="120">
        <f t="shared" si="25"/>
        <v>7099199.9999999991</v>
      </c>
      <c r="K67" s="120">
        <f t="shared" si="26"/>
        <v>2784000</v>
      </c>
      <c r="L67" s="120">
        <f t="shared" si="27"/>
        <v>9883200</v>
      </c>
      <c r="M67" s="114"/>
      <c r="N67" s="114"/>
      <c r="O67" s="114"/>
      <c r="P67" s="114">
        <v>21300</v>
      </c>
      <c r="Q67" s="166">
        <f t="shared" si="28"/>
        <v>163300</v>
      </c>
      <c r="R67" s="167">
        <f t="shared" si="29"/>
        <v>11365680</v>
      </c>
      <c r="S67" s="221">
        <f t="shared" si="30"/>
        <v>8.0826009803175846E-3</v>
      </c>
    </row>
    <row r="68" spans="1:19">
      <c r="A68" s="94">
        <f t="shared" si="31"/>
        <v>45</v>
      </c>
      <c r="B68" s="86" t="s">
        <v>140</v>
      </c>
      <c r="C68" s="101"/>
      <c r="D68" s="102"/>
      <c r="E68" s="151">
        <f>'[40]TB, Balok, Kolom'!P29</f>
        <v>3.5100000000000002</v>
      </c>
      <c r="F68" s="140" t="s">
        <v>15</v>
      </c>
      <c r="G68" s="131">
        <f>855000+(855000*10%)</f>
        <v>940500</v>
      </c>
      <c r="H68" s="120">
        <v>300000</v>
      </c>
      <c r="I68" s="120">
        <f t="shared" si="24"/>
        <v>1240500</v>
      </c>
      <c r="J68" s="120">
        <f t="shared" si="25"/>
        <v>3301155</v>
      </c>
      <c r="K68" s="120">
        <f t="shared" si="26"/>
        <v>1053000</v>
      </c>
      <c r="L68" s="120">
        <f t="shared" si="27"/>
        <v>4354155</v>
      </c>
      <c r="M68" s="114"/>
      <c r="N68" s="114"/>
      <c r="O68" s="114"/>
      <c r="P68" s="114">
        <v>186075</v>
      </c>
      <c r="Q68" s="166">
        <f t="shared" si="28"/>
        <v>1426575</v>
      </c>
      <c r="R68" s="167">
        <f t="shared" si="29"/>
        <v>5007278.25</v>
      </c>
      <c r="S68" s="221">
        <f t="shared" si="30"/>
        <v>3.5608808353017963E-3</v>
      </c>
    </row>
    <row r="69" spans="1:19">
      <c r="A69" s="94">
        <f t="shared" si="31"/>
        <v>46</v>
      </c>
      <c r="B69" s="86" t="s">
        <v>131</v>
      </c>
      <c r="C69" s="101"/>
      <c r="D69" s="102"/>
      <c r="E69" s="151">
        <f>'[40]TB, Balok, Kolom'!S7</f>
        <v>595.50800000000004</v>
      </c>
      <c r="F69" s="140" t="s">
        <v>72</v>
      </c>
      <c r="G69" s="131">
        <v>9240</v>
      </c>
      <c r="H69" s="120">
        <v>2000</v>
      </c>
      <c r="I69" s="120">
        <f t="shared" si="24"/>
        <v>11240</v>
      </c>
      <c r="J69" s="120">
        <f t="shared" si="25"/>
        <v>5502493.9199999999</v>
      </c>
      <c r="K69" s="120">
        <f t="shared" si="26"/>
        <v>1191016</v>
      </c>
      <c r="L69" s="120">
        <f t="shared" si="27"/>
        <v>6693509.9199999999</v>
      </c>
      <c r="M69" s="114"/>
      <c r="N69" s="114"/>
      <c r="O69" s="114"/>
      <c r="P69" s="114">
        <v>1686</v>
      </c>
      <c r="Q69" s="166">
        <f t="shared" si="28"/>
        <v>12926</v>
      </c>
      <c r="R69" s="167">
        <f t="shared" si="29"/>
        <v>7697536.4080000008</v>
      </c>
      <c r="S69" s="221">
        <f t="shared" si="30"/>
        <v>5.4740336977049421E-3</v>
      </c>
    </row>
    <row r="70" spans="1:19">
      <c r="A70" s="94">
        <f t="shared" si="31"/>
        <v>47</v>
      </c>
      <c r="B70" s="86" t="s">
        <v>132</v>
      </c>
      <c r="C70" s="101"/>
      <c r="D70" s="102"/>
      <c r="E70" s="151">
        <f>'[40]TB, Balok, Kolom'!P43</f>
        <v>58.520000000000017</v>
      </c>
      <c r="F70" s="140" t="s">
        <v>14</v>
      </c>
      <c r="G70" s="131">
        <v>102000</v>
      </c>
      <c r="H70" s="120">
        <v>40000</v>
      </c>
      <c r="I70" s="120">
        <f t="shared" si="24"/>
        <v>142000</v>
      </c>
      <c r="J70" s="120">
        <f t="shared" si="25"/>
        <v>5969040.0000000019</v>
      </c>
      <c r="K70" s="120">
        <f t="shared" si="26"/>
        <v>2340800.0000000005</v>
      </c>
      <c r="L70" s="120">
        <f t="shared" si="27"/>
        <v>8309840.0000000019</v>
      </c>
      <c r="M70" s="114"/>
      <c r="N70" s="114"/>
      <c r="O70" s="114"/>
      <c r="P70" s="114">
        <v>21300</v>
      </c>
      <c r="Q70" s="166">
        <f t="shared" si="28"/>
        <v>163300</v>
      </c>
      <c r="R70" s="167">
        <f t="shared" si="29"/>
        <v>9556316.0000000037</v>
      </c>
      <c r="S70" s="221">
        <f t="shared" si="30"/>
        <v>6.7958880656348456E-3</v>
      </c>
    </row>
    <row r="71" spans="1:19">
      <c r="A71" s="94">
        <f t="shared" si="31"/>
        <v>48</v>
      </c>
      <c r="B71" s="86" t="s">
        <v>141</v>
      </c>
      <c r="C71" s="101"/>
      <c r="D71" s="102"/>
      <c r="E71" s="151">
        <f>'[40]TB, Balok, Kolom'!Q43</f>
        <v>4.7879999999999994</v>
      </c>
      <c r="F71" s="140" t="s">
        <v>15</v>
      </c>
      <c r="G71" s="131">
        <f>G58</f>
        <v>715000</v>
      </c>
      <c r="H71" s="120">
        <v>300000</v>
      </c>
      <c r="I71" s="120">
        <f t="shared" si="24"/>
        <v>1015000</v>
      </c>
      <c r="J71" s="120">
        <f t="shared" si="25"/>
        <v>3423419.9999999995</v>
      </c>
      <c r="K71" s="120">
        <f t="shared" si="26"/>
        <v>1436399.9999999998</v>
      </c>
      <c r="L71" s="120">
        <f t="shared" si="27"/>
        <v>4859819.9999999991</v>
      </c>
      <c r="M71" s="114"/>
      <c r="N71" s="114"/>
      <c r="O71" s="114"/>
      <c r="P71" s="114">
        <v>152250</v>
      </c>
      <c r="Q71" s="166">
        <f t="shared" si="28"/>
        <v>1167250</v>
      </c>
      <c r="R71" s="167">
        <f t="shared" si="29"/>
        <v>5588792.9999999991</v>
      </c>
      <c r="S71" s="221">
        <f t="shared" si="30"/>
        <v>3.9744198130329247E-3</v>
      </c>
    </row>
    <row r="72" spans="1:19">
      <c r="A72" s="94">
        <f t="shared" si="31"/>
        <v>49</v>
      </c>
      <c r="B72" s="86" t="s">
        <v>133</v>
      </c>
      <c r="C72" s="101"/>
      <c r="D72" s="102"/>
      <c r="E72" s="151">
        <f>'[40]TB, Balok, Kolom'!S8</f>
        <v>740.26800000000003</v>
      </c>
      <c r="F72" s="140" t="s">
        <v>72</v>
      </c>
      <c r="G72" s="131">
        <v>9240</v>
      </c>
      <c r="H72" s="120">
        <v>2000</v>
      </c>
      <c r="I72" s="120">
        <f t="shared" si="24"/>
        <v>11240</v>
      </c>
      <c r="J72" s="120">
        <f t="shared" si="25"/>
        <v>6840076.3200000003</v>
      </c>
      <c r="K72" s="120">
        <f t="shared" si="26"/>
        <v>1480536</v>
      </c>
      <c r="L72" s="120">
        <f t="shared" si="27"/>
        <v>8320612.3200000003</v>
      </c>
      <c r="M72" s="114"/>
      <c r="N72" s="114"/>
      <c r="O72" s="114"/>
      <c r="P72" s="114">
        <v>1686</v>
      </c>
      <c r="Q72" s="166">
        <f t="shared" si="28"/>
        <v>12926</v>
      </c>
      <c r="R72" s="167">
        <f t="shared" si="29"/>
        <v>9568704.1679999996</v>
      </c>
      <c r="S72" s="221">
        <f t="shared" si="30"/>
        <v>6.8046977997485193E-3</v>
      </c>
    </row>
    <row r="73" spans="1:19">
      <c r="A73" s="94">
        <f t="shared" si="31"/>
        <v>50</v>
      </c>
      <c r="B73" s="86" t="s">
        <v>134</v>
      </c>
      <c r="C73" s="101"/>
      <c r="D73" s="102"/>
      <c r="E73" s="151">
        <f>'[40]TB, Balok, Kolom'!P60</f>
        <v>33.515999999999998</v>
      </c>
      <c r="F73" s="140" t="s">
        <v>14</v>
      </c>
      <c r="G73" s="131">
        <v>102000</v>
      </c>
      <c r="H73" s="120">
        <v>40000</v>
      </c>
      <c r="I73" s="120">
        <f t="shared" si="24"/>
        <v>142000</v>
      </c>
      <c r="J73" s="120">
        <f t="shared" si="25"/>
        <v>3418632</v>
      </c>
      <c r="K73" s="120">
        <f t="shared" si="26"/>
        <v>1340640</v>
      </c>
      <c r="L73" s="120">
        <f t="shared" si="27"/>
        <v>4759272</v>
      </c>
      <c r="M73" s="114"/>
      <c r="N73" s="114"/>
      <c r="O73" s="114"/>
      <c r="P73" s="114">
        <v>21300</v>
      </c>
      <c r="Q73" s="166">
        <f t="shared" si="28"/>
        <v>163300</v>
      </c>
      <c r="R73" s="167">
        <f t="shared" si="29"/>
        <v>5473162.7999999998</v>
      </c>
      <c r="S73" s="221">
        <f t="shared" si="30"/>
        <v>3.8921904375908644E-3</v>
      </c>
    </row>
    <row r="74" spans="1:19">
      <c r="A74" s="94">
        <f t="shared" si="31"/>
        <v>51</v>
      </c>
      <c r="B74" s="86" t="s">
        <v>142</v>
      </c>
      <c r="C74" s="101"/>
      <c r="D74" s="102"/>
      <c r="E74" s="151">
        <f>'[40]TB, Balok, Kolom'!Q60</f>
        <v>1.7289999999999992</v>
      </c>
      <c r="F74" s="140" t="s">
        <v>15</v>
      </c>
      <c r="G74" s="131">
        <f>G71</f>
        <v>715000</v>
      </c>
      <c r="H74" s="120">
        <v>300000</v>
      </c>
      <c r="I74" s="120">
        <f t="shared" si="24"/>
        <v>1015000</v>
      </c>
      <c r="J74" s="120">
        <f t="shared" si="25"/>
        <v>1236234.9999999995</v>
      </c>
      <c r="K74" s="120">
        <f t="shared" si="26"/>
        <v>518699.99999999977</v>
      </c>
      <c r="L74" s="120">
        <f t="shared" si="27"/>
        <v>1754934.9999999993</v>
      </c>
      <c r="M74" s="114"/>
      <c r="N74" s="114"/>
      <c r="O74" s="114"/>
      <c r="P74" s="114">
        <v>152250</v>
      </c>
      <c r="Q74" s="166">
        <f t="shared" si="28"/>
        <v>1167250</v>
      </c>
      <c r="R74" s="167">
        <f t="shared" si="29"/>
        <v>2018175.2499999991</v>
      </c>
      <c r="S74" s="221">
        <f t="shared" si="30"/>
        <v>1.4352071547063334E-3</v>
      </c>
    </row>
    <row r="75" spans="1:19">
      <c r="A75" s="94">
        <f t="shared" si="31"/>
        <v>52</v>
      </c>
      <c r="B75" s="86" t="s">
        <v>135</v>
      </c>
      <c r="C75" s="101"/>
      <c r="D75" s="102"/>
      <c r="E75" s="151">
        <v>814.69</v>
      </c>
      <c r="F75" s="140" t="s">
        <v>72</v>
      </c>
      <c r="G75" s="131">
        <v>9240</v>
      </c>
      <c r="H75" s="120">
        <v>2000</v>
      </c>
      <c r="I75" s="120">
        <f t="shared" si="24"/>
        <v>11240</v>
      </c>
      <c r="J75" s="120">
        <f t="shared" si="25"/>
        <v>7527735.6000000006</v>
      </c>
      <c r="K75" s="120">
        <f t="shared" si="26"/>
        <v>1629380</v>
      </c>
      <c r="L75" s="120">
        <f t="shared" si="27"/>
        <v>9157115.6000000015</v>
      </c>
      <c r="M75" s="114"/>
      <c r="N75" s="114"/>
      <c r="O75" s="114"/>
      <c r="P75" s="114">
        <v>1686</v>
      </c>
      <c r="Q75" s="166">
        <f t="shared" si="28"/>
        <v>12926</v>
      </c>
      <c r="R75" s="167">
        <f t="shared" si="29"/>
        <v>10530682.940000001</v>
      </c>
      <c r="S75" s="221">
        <f t="shared" si="30"/>
        <v>7.488800340521436E-3</v>
      </c>
    </row>
    <row r="76" spans="1:19">
      <c r="A76" s="94">
        <f t="shared" si="31"/>
        <v>53</v>
      </c>
      <c r="B76" s="86" t="s">
        <v>136</v>
      </c>
      <c r="C76" s="101"/>
      <c r="D76" s="102"/>
      <c r="E76" s="151">
        <f>'[40]TB, Balok, Kolom'!P85</f>
        <v>69.975000000000009</v>
      </c>
      <c r="F76" s="140" t="s">
        <v>14</v>
      </c>
      <c r="G76" s="131">
        <v>102000</v>
      </c>
      <c r="H76" s="120">
        <v>40000</v>
      </c>
      <c r="I76" s="120">
        <f t="shared" si="24"/>
        <v>142000</v>
      </c>
      <c r="J76" s="120">
        <f t="shared" si="25"/>
        <v>7137450.0000000009</v>
      </c>
      <c r="K76" s="120">
        <f t="shared" si="26"/>
        <v>2799000.0000000005</v>
      </c>
      <c r="L76" s="120">
        <f t="shared" si="27"/>
        <v>9936450.0000000019</v>
      </c>
      <c r="M76" s="114"/>
      <c r="N76" s="114"/>
      <c r="O76" s="114"/>
      <c r="P76" s="114">
        <v>21300</v>
      </c>
      <c r="Q76" s="166">
        <f t="shared" si="28"/>
        <v>163300</v>
      </c>
      <c r="R76" s="167">
        <f t="shared" si="29"/>
        <v>11426917.500000002</v>
      </c>
      <c r="S76" s="221">
        <f t="shared" si="30"/>
        <v>8.1261494769787803E-3</v>
      </c>
    </row>
    <row r="77" spans="1:19">
      <c r="A77" s="94">
        <f t="shared" si="31"/>
        <v>54</v>
      </c>
      <c r="B77" s="86" t="s">
        <v>143</v>
      </c>
      <c r="C77" s="101"/>
      <c r="D77" s="102"/>
      <c r="E77" s="151">
        <f>'[40]TB, Balok, Kolom'!Q85</f>
        <v>4.1984999999999983</v>
      </c>
      <c r="F77" s="140" t="s">
        <v>15</v>
      </c>
      <c r="G77" s="131">
        <v>715000</v>
      </c>
      <c r="H77" s="120">
        <v>300000</v>
      </c>
      <c r="I77" s="120">
        <f t="shared" si="24"/>
        <v>1015000</v>
      </c>
      <c r="J77" s="120">
        <f t="shared" si="25"/>
        <v>3001927.4999999986</v>
      </c>
      <c r="K77" s="120">
        <f t="shared" si="26"/>
        <v>1259549.9999999995</v>
      </c>
      <c r="L77" s="120">
        <f t="shared" si="27"/>
        <v>4261477.4999999981</v>
      </c>
      <c r="M77" s="114"/>
      <c r="N77" s="114"/>
      <c r="O77" s="114"/>
      <c r="P77" s="114">
        <v>152250</v>
      </c>
      <c r="Q77" s="166">
        <f t="shared" si="28"/>
        <v>1167250</v>
      </c>
      <c r="R77" s="167">
        <f t="shared" si="29"/>
        <v>4900699.1249999981</v>
      </c>
      <c r="S77" s="221">
        <f t="shared" si="30"/>
        <v>3.4850880503380804E-3</v>
      </c>
    </row>
    <row r="78" spans="1:19">
      <c r="A78" s="94">
        <f t="shared" si="31"/>
        <v>55</v>
      </c>
      <c r="B78" s="86" t="s">
        <v>137</v>
      </c>
      <c r="C78" s="101"/>
      <c r="D78" s="102"/>
      <c r="E78" s="151">
        <f>'[40]TB, Balok, Kolom'!S10</f>
        <v>146.74412938267616</v>
      </c>
      <c r="F78" s="140" t="s">
        <v>72</v>
      </c>
      <c r="G78" s="131">
        <v>9240</v>
      </c>
      <c r="H78" s="120">
        <v>2000</v>
      </c>
      <c r="I78" s="120">
        <f t="shared" si="24"/>
        <v>11240</v>
      </c>
      <c r="J78" s="120">
        <f t="shared" si="25"/>
        <v>1355915.7554959278</v>
      </c>
      <c r="K78" s="120">
        <f t="shared" si="26"/>
        <v>293488.25876535231</v>
      </c>
      <c r="L78" s="120">
        <f t="shared" si="27"/>
        <v>1649404.0142612802</v>
      </c>
      <c r="M78" s="114"/>
      <c r="N78" s="114"/>
      <c r="O78" s="114"/>
      <c r="P78" s="114">
        <v>1686</v>
      </c>
      <c r="Q78" s="166">
        <f t="shared" si="28"/>
        <v>12926</v>
      </c>
      <c r="R78" s="167">
        <f t="shared" si="29"/>
        <v>1896814.6164004721</v>
      </c>
      <c r="S78" s="221">
        <f t="shared" si="30"/>
        <v>1.3489026330144064E-3</v>
      </c>
    </row>
    <row r="79" spans="1:19">
      <c r="A79" s="94">
        <f t="shared" si="31"/>
        <v>56</v>
      </c>
      <c r="B79" s="86" t="s">
        <v>138</v>
      </c>
      <c r="C79" s="101"/>
      <c r="D79" s="102"/>
      <c r="E79" s="151">
        <f>'[40]TB, Balok, Kolom'!Q205</f>
        <v>8.9840000000000018</v>
      </c>
      <c r="F79" s="140" t="s">
        <v>14</v>
      </c>
      <c r="G79" s="131">
        <v>102000</v>
      </c>
      <c r="H79" s="120">
        <v>40000</v>
      </c>
      <c r="I79" s="120">
        <f t="shared" si="24"/>
        <v>142000</v>
      </c>
      <c r="J79" s="120">
        <f t="shared" si="25"/>
        <v>916368.00000000023</v>
      </c>
      <c r="K79" s="120">
        <f t="shared" si="26"/>
        <v>359360.00000000006</v>
      </c>
      <c r="L79" s="120">
        <f t="shared" si="27"/>
        <v>1275728.0000000002</v>
      </c>
      <c r="M79" s="114"/>
      <c r="N79" s="114"/>
      <c r="O79" s="114"/>
      <c r="P79" s="114">
        <v>21300</v>
      </c>
      <c r="Q79" s="166">
        <f t="shared" si="28"/>
        <v>163300</v>
      </c>
      <c r="R79" s="167">
        <f t="shared" si="29"/>
        <v>1467087.2000000002</v>
      </c>
      <c r="S79" s="221">
        <f t="shared" si="30"/>
        <v>1.0433058506777756E-3</v>
      </c>
    </row>
    <row r="80" spans="1:19">
      <c r="A80" s="94">
        <f t="shared" si="31"/>
        <v>57</v>
      </c>
      <c r="B80" s="86" t="s">
        <v>144</v>
      </c>
      <c r="C80" s="101"/>
      <c r="D80" s="102"/>
      <c r="E80" s="151">
        <f>'[40]TB, Balok, Kolom'!R205</f>
        <v>0.33690000000000009</v>
      </c>
      <c r="F80" s="140" t="s">
        <v>15</v>
      </c>
      <c r="G80" s="131">
        <v>715000</v>
      </c>
      <c r="H80" s="120">
        <v>300000</v>
      </c>
      <c r="I80" s="120">
        <f t="shared" si="24"/>
        <v>1015000</v>
      </c>
      <c r="J80" s="120">
        <f t="shared" si="25"/>
        <v>240883.50000000006</v>
      </c>
      <c r="K80" s="120">
        <f t="shared" si="26"/>
        <v>101070.00000000003</v>
      </c>
      <c r="L80" s="120">
        <f t="shared" si="27"/>
        <v>341953.50000000012</v>
      </c>
      <c r="M80" s="114"/>
      <c r="N80" s="114"/>
      <c r="O80" s="114"/>
      <c r="P80" s="114">
        <v>152250</v>
      </c>
      <c r="Q80" s="166">
        <f t="shared" si="28"/>
        <v>1167250</v>
      </c>
      <c r="R80" s="167">
        <f t="shared" si="29"/>
        <v>393246.52500000008</v>
      </c>
      <c r="S80" s="221">
        <f t="shared" si="30"/>
        <v>2.7965372493959749E-4</v>
      </c>
    </row>
    <row r="81" spans="1:19">
      <c r="A81" s="94">
        <f t="shared" si="31"/>
        <v>58</v>
      </c>
      <c r="B81" s="86" t="s">
        <v>145</v>
      </c>
      <c r="C81" s="101"/>
      <c r="D81" s="102"/>
      <c r="E81" s="151">
        <f>'[40]Volume Wiremesh &amp; Lantai'!Q19</f>
        <v>1057.02</v>
      </c>
      <c r="F81" s="140" t="s">
        <v>72</v>
      </c>
      <c r="G81" s="131">
        <v>9240</v>
      </c>
      <c r="H81" s="120">
        <v>2000</v>
      </c>
      <c r="I81" s="120">
        <f t="shared" si="24"/>
        <v>11240</v>
      </c>
      <c r="J81" s="120">
        <f t="shared" si="25"/>
        <v>9766864.8000000007</v>
      </c>
      <c r="K81" s="120">
        <f t="shared" si="26"/>
        <v>2114040</v>
      </c>
      <c r="L81" s="120">
        <f t="shared" si="27"/>
        <v>11880904.800000001</v>
      </c>
      <c r="M81" s="114"/>
      <c r="N81" s="114"/>
      <c r="O81" s="114"/>
      <c r="P81" s="114">
        <v>1686</v>
      </c>
      <c r="Q81" s="166">
        <f t="shared" si="28"/>
        <v>12926</v>
      </c>
      <c r="R81" s="167">
        <f t="shared" si="29"/>
        <v>13663040.52</v>
      </c>
      <c r="S81" s="221">
        <f t="shared" si="30"/>
        <v>9.7163482256293395E-3</v>
      </c>
    </row>
    <row r="82" spans="1:19">
      <c r="A82" s="94">
        <f t="shared" si="31"/>
        <v>59</v>
      </c>
      <c r="B82" s="86" t="s">
        <v>146</v>
      </c>
      <c r="C82" s="101"/>
      <c r="D82" s="102"/>
      <c r="E82" s="151">
        <f>'[40]Volume Wiremesh &amp; Lantai'!F9</f>
        <v>183.99700000000001</v>
      </c>
      <c r="F82" s="140" t="s">
        <v>14</v>
      </c>
      <c r="G82" s="131">
        <v>102000</v>
      </c>
      <c r="H82" s="120">
        <v>40000</v>
      </c>
      <c r="I82" s="120">
        <f t="shared" si="24"/>
        <v>142000</v>
      </c>
      <c r="J82" s="120">
        <f t="shared" si="25"/>
        <v>18767694</v>
      </c>
      <c r="K82" s="120">
        <f t="shared" si="26"/>
        <v>7359880.0000000009</v>
      </c>
      <c r="L82" s="120">
        <f t="shared" si="27"/>
        <v>26127574</v>
      </c>
      <c r="M82" s="114"/>
      <c r="N82" s="114"/>
      <c r="O82" s="114"/>
      <c r="P82" s="114">
        <v>21300</v>
      </c>
      <c r="Q82" s="166">
        <f t="shared" si="28"/>
        <v>163300</v>
      </c>
      <c r="R82" s="167">
        <f t="shared" si="29"/>
        <v>30046710.100000001</v>
      </c>
      <c r="S82" s="221">
        <f t="shared" si="30"/>
        <v>2.1367447307119175E-2</v>
      </c>
    </row>
    <row r="83" spans="1:19">
      <c r="A83" s="94">
        <f t="shared" si="31"/>
        <v>60</v>
      </c>
      <c r="B83" s="86" t="s">
        <v>147</v>
      </c>
      <c r="C83" s="101"/>
      <c r="D83" s="102"/>
      <c r="E83" s="151">
        <f>'[40]Volume Wiremesh &amp; Lantai'!G9</f>
        <v>22.079639999999998</v>
      </c>
      <c r="F83" s="140" t="s">
        <v>15</v>
      </c>
      <c r="G83" s="131">
        <f>G68</f>
        <v>940500</v>
      </c>
      <c r="H83" s="120">
        <v>300000</v>
      </c>
      <c r="I83" s="120">
        <f t="shared" si="24"/>
        <v>1240500</v>
      </c>
      <c r="J83" s="120">
        <f t="shared" si="25"/>
        <v>20765901.419999998</v>
      </c>
      <c r="K83" s="120">
        <f t="shared" si="26"/>
        <v>6623891.9999999991</v>
      </c>
      <c r="L83" s="120">
        <f t="shared" si="27"/>
        <v>27389793.419999998</v>
      </c>
      <c r="M83" s="114"/>
      <c r="N83" s="114"/>
      <c r="O83" s="114"/>
      <c r="P83" s="114">
        <v>186075</v>
      </c>
      <c r="Q83" s="166">
        <f t="shared" si="28"/>
        <v>1426575</v>
      </c>
      <c r="R83" s="167">
        <f t="shared" si="29"/>
        <v>31498262.432999998</v>
      </c>
      <c r="S83" s="221">
        <f t="shared" si="30"/>
        <v>2.2399705677026482E-2</v>
      </c>
    </row>
    <row r="84" spans="1:19">
      <c r="A84" s="108"/>
      <c r="B84" s="108"/>
      <c r="C84" s="101"/>
      <c r="D84" s="102"/>
      <c r="E84" s="155"/>
      <c r="F84" s="156"/>
      <c r="G84" s="133"/>
      <c r="H84" s="122"/>
      <c r="I84" s="123"/>
      <c r="J84" s="123"/>
      <c r="K84" s="123"/>
      <c r="L84" s="123">
        <f>SUM(L63:L83)</f>
        <v>185897661.07426128</v>
      </c>
      <c r="Q84" s="168" t="s">
        <v>178</v>
      </c>
      <c r="R84" s="169">
        <f>SUM(R35:R83)</f>
        <v>799741118.47665036</v>
      </c>
    </row>
    <row r="85" spans="1:19">
      <c r="A85" s="63"/>
      <c r="B85" s="63"/>
      <c r="C85" s="61"/>
      <c r="D85" s="64"/>
      <c r="E85" s="147"/>
      <c r="F85" s="148"/>
      <c r="G85" s="134"/>
      <c r="H85" s="130"/>
      <c r="I85" s="119"/>
      <c r="J85" s="119"/>
      <c r="K85" s="119"/>
      <c r="L85" s="119"/>
      <c r="Q85" s="165"/>
      <c r="R85" s="165"/>
    </row>
    <row r="86" spans="1:19">
      <c r="A86" s="85" t="s">
        <v>8</v>
      </c>
      <c r="B86" s="95" t="s">
        <v>157</v>
      </c>
      <c r="C86" s="160"/>
      <c r="D86" s="164"/>
      <c r="E86" s="137"/>
      <c r="F86" s="138"/>
      <c r="G86" s="127"/>
      <c r="H86" s="116"/>
      <c r="I86" s="116"/>
      <c r="J86" s="116"/>
      <c r="K86" s="116"/>
      <c r="L86" s="116"/>
      <c r="Q86" s="165"/>
      <c r="R86" s="165"/>
    </row>
    <row r="87" spans="1:19">
      <c r="A87" s="94">
        <v>1</v>
      </c>
      <c r="B87" s="86" t="s">
        <v>158</v>
      </c>
      <c r="C87" s="61"/>
      <c r="D87" s="64"/>
      <c r="E87" s="151">
        <v>1065</v>
      </c>
      <c r="F87" s="140" t="s">
        <v>72</v>
      </c>
      <c r="G87" s="127">
        <v>17000</v>
      </c>
      <c r="H87" s="116">
        <v>15000</v>
      </c>
      <c r="I87" s="116">
        <f t="shared" ref="I87:I91" si="32">H87+G87</f>
        <v>32000</v>
      </c>
      <c r="J87" s="116">
        <f t="shared" ref="J87:J91" si="33">E87*G87</f>
        <v>18105000</v>
      </c>
      <c r="K87" s="116">
        <f t="shared" ref="K87:K91" si="34">E87*H87</f>
        <v>15975000</v>
      </c>
      <c r="L87" s="116">
        <f>(K87+J87)</f>
        <v>34080000</v>
      </c>
      <c r="M87" s="114">
        <v>3200</v>
      </c>
      <c r="N87" s="114">
        <v>800</v>
      </c>
      <c r="O87" s="114">
        <v>800</v>
      </c>
      <c r="P87" s="114">
        <v>4800</v>
      </c>
      <c r="Q87" s="166">
        <f>I87+M87+N87+O87+P87</f>
        <v>41600</v>
      </c>
      <c r="R87" s="167">
        <f>Q87*E87</f>
        <v>44304000</v>
      </c>
      <c r="S87" s="221">
        <f t="shared" ref="S87:S91" si="35">R87/$R$3</f>
        <v>3.1506390627924617E-2</v>
      </c>
    </row>
    <row r="88" spans="1:19">
      <c r="A88" s="94">
        <f t="shared" ref="A88" si="36">A87+1</f>
        <v>2</v>
      </c>
      <c r="B88" s="86" t="s">
        <v>159</v>
      </c>
      <c r="C88" s="61"/>
      <c r="D88" s="64"/>
      <c r="E88" s="151">
        <v>2340</v>
      </c>
      <c r="F88" s="140" t="s">
        <v>72</v>
      </c>
      <c r="G88" s="127">
        <v>17000</v>
      </c>
      <c r="H88" s="116">
        <v>15000</v>
      </c>
      <c r="I88" s="116">
        <f t="shared" si="32"/>
        <v>32000</v>
      </c>
      <c r="J88" s="116">
        <f t="shared" si="33"/>
        <v>39780000</v>
      </c>
      <c r="K88" s="116">
        <f t="shared" si="34"/>
        <v>35100000</v>
      </c>
      <c r="L88" s="116">
        <f t="shared" ref="L88:L91" si="37">(K88+J88)</f>
        <v>74880000</v>
      </c>
      <c r="M88" s="114">
        <v>3200</v>
      </c>
      <c r="N88" s="114">
        <v>800</v>
      </c>
      <c r="O88" s="114">
        <v>800</v>
      </c>
      <c r="P88" s="114">
        <v>4800</v>
      </c>
      <c r="Q88" s="166">
        <f>I88+M88+N88+O88+P88</f>
        <v>41600</v>
      </c>
      <c r="R88" s="167">
        <f>Q88*E88</f>
        <v>97344000</v>
      </c>
      <c r="S88" s="221">
        <f t="shared" si="35"/>
        <v>6.9225308985299161E-2</v>
      </c>
    </row>
    <row r="89" spans="1:19">
      <c r="A89" s="94">
        <v>3</v>
      </c>
      <c r="B89" s="86" t="s">
        <v>161</v>
      </c>
      <c r="C89" s="61"/>
      <c r="D89" s="64"/>
      <c r="E89" s="151">
        <v>742.4</v>
      </c>
      <c r="F89" s="140" t="s">
        <v>72</v>
      </c>
      <c r="G89" s="127">
        <v>17000</v>
      </c>
      <c r="H89" s="116">
        <v>15000</v>
      </c>
      <c r="I89" s="116">
        <f t="shared" si="32"/>
        <v>32000</v>
      </c>
      <c r="J89" s="116">
        <f t="shared" si="33"/>
        <v>12620800</v>
      </c>
      <c r="K89" s="116">
        <f t="shared" si="34"/>
        <v>11136000</v>
      </c>
      <c r="L89" s="116">
        <f t="shared" si="37"/>
        <v>23756800</v>
      </c>
      <c r="M89" s="114">
        <v>3200</v>
      </c>
      <c r="N89" s="114">
        <v>800</v>
      </c>
      <c r="O89" s="114">
        <v>800</v>
      </c>
      <c r="P89" s="114">
        <v>4800</v>
      </c>
      <c r="Q89" s="166">
        <f>I89+M89+N89+O89+P89</f>
        <v>41600</v>
      </c>
      <c r="R89" s="167">
        <f>Q89*E89</f>
        <v>30883840</v>
      </c>
      <c r="S89" s="221">
        <f t="shared" si="35"/>
        <v>2.1962764696874401E-2</v>
      </c>
    </row>
    <row r="90" spans="1:19">
      <c r="A90" s="94">
        <v>4</v>
      </c>
      <c r="B90" s="86" t="s">
        <v>160</v>
      </c>
      <c r="C90" s="61"/>
      <c r="D90" s="64"/>
      <c r="E90" s="151">
        <v>1184.4000000000001</v>
      </c>
      <c r="F90" s="140" t="s">
        <v>72</v>
      </c>
      <c r="G90" s="127">
        <v>17000</v>
      </c>
      <c r="H90" s="116">
        <v>15000</v>
      </c>
      <c r="I90" s="116">
        <f t="shared" si="32"/>
        <v>32000</v>
      </c>
      <c r="J90" s="116">
        <f t="shared" si="33"/>
        <v>20134800</v>
      </c>
      <c r="K90" s="116">
        <f t="shared" si="34"/>
        <v>17766000</v>
      </c>
      <c r="L90" s="116">
        <f t="shared" si="37"/>
        <v>37900800</v>
      </c>
      <c r="M90" s="114">
        <v>3200</v>
      </c>
      <c r="N90" s="114">
        <v>800</v>
      </c>
      <c r="O90" s="114">
        <v>800</v>
      </c>
      <c r="P90" s="114">
        <v>4800</v>
      </c>
      <c r="Q90" s="166">
        <f>I90+M90+N90+O90+P90</f>
        <v>41600</v>
      </c>
      <c r="R90" s="167">
        <f>Q90*E90</f>
        <v>49271040.000000007</v>
      </c>
      <c r="S90" s="221">
        <f t="shared" si="35"/>
        <v>3.5038656394097582E-2</v>
      </c>
    </row>
    <row r="91" spans="1:19">
      <c r="A91" s="94">
        <v>5</v>
      </c>
      <c r="B91" s="86" t="s">
        <v>162</v>
      </c>
      <c r="C91" s="61"/>
      <c r="D91" s="64"/>
      <c r="E91" s="151">
        <f>0.25*0.25*2.65*10</f>
        <v>1.65625</v>
      </c>
      <c r="F91" s="140" t="s">
        <v>15</v>
      </c>
      <c r="G91" s="127">
        <v>940500</v>
      </c>
      <c r="H91" s="116">
        <v>300000</v>
      </c>
      <c r="I91" s="116">
        <f t="shared" si="32"/>
        <v>1240500</v>
      </c>
      <c r="J91" s="116">
        <f t="shared" si="33"/>
        <v>1557703.125</v>
      </c>
      <c r="K91" s="116">
        <f t="shared" si="34"/>
        <v>496875</v>
      </c>
      <c r="L91" s="116">
        <f t="shared" si="37"/>
        <v>2054578.125</v>
      </c>
      <c r="M91" s="114">
        <v>124050</v>
      </c>
      <c r="N91" s="114">
        <v>31012</v>
      </c>
      <c r="O91" s="114">
        <v>31012</v>
      </c>
      <c r="P91" s="114">
        <v>186075</v>
      </c>
      <c r="Q91" s="166">
        <f>I91+M91+N91+O91+P91</f>
        <v>1612649</v>
      </c>
      <c r="R91" s="167">
        <f>Q91*E91</f>
        <v>2670949.90625</v>
      </c>
      <c r="S91" s="221">
        <f t="shared" si="35"/>
        <v>1.8994219730482831E-3</v>
      </c>
    </row>
    <row r="92" spans="1:19" ht="16" thickBot="1">
      <c r="A92" s="94"/>
      <c r="B92" s="86"/>
      <c r="C92" s="61"/>
      <c r="D92" s="64"/>
      <c r="E92" s="145"/>
      <c r="F92" s="146"/>
      <c r="G92" s="129"/>
      <c r="H92" s="118"/>
      <c r="I92" s="118"/>
      <c r="J92" s="118"/>
      <c r="K92" s="118"/>
      <c r="L92" s="118"/>
      <c r="Q92" s="165"/>
      <c r="R92" s="165"/>
    </row>
    <row r="93" spans="1:19">
      <c r="A93" s="62"/>
      <c r="B93" s="63"/>
      <c r="C93" s="61"/>
      <c r="D93" s="64"/>
      <c r="E93" s="147"/>
      <c r="F93" s="148"/>
      <c r="G93" s="134"/>
      <c r="H93" s="130"/>
      <c r="I93" s="119"/>
      <c r="J93" s="119"/>
      <c r="K93" s="119"/>
      <c r="L93" s="119">
        <f>SUM(L87:L92)</f>
        <v>172672178.125</v>
      </c>
      <c r="Q93" s="165"/>
      <c r="R93" s="169">
        <f>SUM(R87:R92)</f>
        <v>224473829.90625</v>
      </c>
    </row>
    <row r="94" spans="1:19">
      <c r="A94" s="63"/>
      <c r="B94" s="63"/>
      <c r="C94" s="61"/>
      <c r="D94" s="64"/>
      <c r="E94" s="147"/>
      <c r="F94" s="148"/>
      <c r="G94" s="134"/>
      <c r="H94" s="130"/>
      <c r="I94" s="119"/>
      <c r="J94" s="119"/>
      <c r="K94" s="119"/>
      <c r="L94" s="119"/>
      <c r="Q94" s="165"/>
      <c r="R94" s="165"/>
    </row>
    <row r="95" spans="1:19">
      <c r="A95" s="63"/>
      <c r="B95" s="63"/>
      <c r="C95" s="61"/>
      <c r="D95" s="64"/>
      <c r="E95" s="147"/>
      <c r="F95" s="148"/>
      <c r="G95" s="134"/>
      <c r="H95" s="130"/>
      <c r="I95" s="119"/>
      <c r="J95" s="119"/>
      <c r="K95" s="119"/>
      <c r="L95" s="119"/>
      <c r="Q95" s="165"/>
      <c r="R95" s="165"/>
    </row>
    <row r="96" spans="1:19">
      <c r="A96" s="85" t="s">
        <v>9</v>
      </c>
      <c r="B96" s="95" t="s">
        <v>43</v>
      </c>
      <c r="C96" s="160"/>
      <c r="D96" s="164"/>
      <c r="E96" s="137"/>
      <c r="F96" s="138"/>
      <c r="G96" s="127"/>
      <c r="H96" s="116"/>
      <c r="I96" s="116"/>
      <c r="J96" s="116"/>
      <c r="K96" s="116"/>
      <c r="L96" s="116"/>
      <c r="Q96" s="165"/>
      <c r="R96" s="165"/>
    </row>
    <row r="97" spans="1:19">
      <c r="A97" s="94">
        <v>1</v>
      </c>
      <c r="B97" s="86" t="s">
        <v>51</v>
      </c>
      <c r="C97" s="61"/>
      <c r="D97" s="64"/>
      <c r="E97" s="151">
        <f>497</f>
        <v>497</v>
      </c>
      <c r="F97" s="140" t="s">
        <v>14</v>
      </c>
      <c r="G97" s="127">
        <v>47670</v>
      </c>
      <c r="H97" s="116">
        <v>28000</v>
      </c>
      <c r="I97" s="116">
        <f t="shared" si="4"/>
        <v>75670</v>
      </c>
      <c r="J97" s="116">
        <f t="shared" ref="J97:J107" si="38">E97*G97</f>
        <v>23691990</v>
      </c>
      <c r="K97" s="116">
        <f t="shared" ref="K97:K107" si="39">E97*H97</f>
        <v>13916000</v>
      </c>
      <c r="L97" s="116">
        <f>(K97+J97)</f>
        <v>37607990</v>
      </c>
      <c r="M97" s="114">
        <v>25000</v>
      </c>
      <c r="N97" s="124"/>
      <c r="O97" s="124"/>
      <c r="P97" s="124"/>
      <c r="Q97" s="166">
        <f t="shared" ref="Q97:Q107" si="40">M97+I97</f>
        <v>100670</v>
      </c>
      <c r="R97" s="167">
        <f t="shared" ref="R97:R107" si="41">Q97*E97</f>
        <v>50032990</v>
      </c>
      <c r="S97" s="221">
        <f t="shared" ref="S97:S107" si="42">R97/$R$3</f>
        <v>3.5580510274987501E-2</v>
      </c>
    </row>
    <row r="98" spans="1:19">
      <c r="A98" s="94">
        <f t="shared" ref="A98" si="43">A97+1</f>
        <v>2</v>
      </c>
      <c r="B98" s="86" t="s">
        <v>48</v>
      </c>
      <c r="C98" s="61"/>
      <c r="D98" s="64"/>
      <c r="E98" s="151">
        <f>E97*2</f>
        <v>994</v>
      </c>
      <c r="F98" s="140" t="s">
        <v>14</v>
      </c>
      <c r="G98" s="127">
        <v>14918</v>
      </c>
      <c r="H98" s="116">
        <v>25000</v>
      </c>
      <c r="I98" s="116">
        <f t="shared" si="4"/>
        <v>39918</v>
      </c>
      <c r="J98" s="116">
        <f t="shared" si="38"/>
        <v>14828492</v>
      </c>
      <c r="K98" s="116">
        <f t="shared" si="39"/>
        <v>24850000</v>
      </c>
      <c r="L98" s="116">
        <f t="shared" ref="L98:L107" si="44">(K98+J98)</f>
        <v>39678492</v>
      </c>
      <c r="M98" s="114">
        <v>15000</v>
      </c>
      <c r="N98" s="124"/>
      <c r="O98" s="124"/>
      <c r="P98" s="124"/>
      <c r="Q98" s="166">
        <f t="shared" si="40"/>
        <v>54918</v>
      </c>
      <c r="R98" s="167">
        <f t="shared" si="41"/>
        <v>54588492</v>
      </c>
      <c r="S98" s="221">
        <f t="shared" si="42"/>
        <v>3.8820114498495352E-2</v>
      </c>
    </row>
    <row r="99" spans="1:19">
      <c r="A99" s="94">
        <v>3</v>
      </c>
      <c r="B99" s="86" t="s">
        <v>172</v>
      </c>
      <c r="C99" s="61"/>
      <c r="D99" s="64"/>
      <c r="E99" s="151">
        <v>994</v>
      </c>
      <c r="F99" s="140" t="s">
        <v>14</v>
      </c>
      <c r="G99" s="127">
        <v>5000</v>
      </c>
      <c r="H99" s="116">
        <v>20000</v>
      </c>
      <c r="I99" s="116">
        <v>25000</v>
      </c>
      <c r="J99" s="116">
        <f>G99*E99</f>
        <v>4970000</v>
      </c>
      <c r="K99" s="116">
        <f>H99*E99</f>
        <v>19880000</v>
      </c>
      <c r="L99" s="116">
        <f>K99+J99</f>
        <v>24850000</v>
      </c>
      <c r="M99" s="114">
        <v>10000</v>
      </c>
      <c r="N99" s="124"/>
      <c r="O99" s="124"/>
      <c r="P99" s="124"/>
      <c r="Q99" s="166">
        <f t="shared" si="40"/>
        <v>35000</v>
      </c>
      <c r="R99" s="167">
        <f t="shared" si="41"/>
        <v>34790000</v>
      </c>
      <c r="S99" s="221">
        <f t="shared" si="42"/>
        <v>2.4740595204620294E-2</v>
      </c>
    </row>
    <row r="100" spans="1:19">
      <c r="A100" s="94">
        <v>3</v>
      </c>
      <c r="B100" s="86" t="s">
        <v>71</v>
      </c>
      <c r="C100" s="61"/>
      <c r="D100" s="64"/>
      <c r="E100" s="151">
        <v>314.55</v>
      </c>
      <c r="F100" s="140" t="s">
        <v>13</v>
      </c>
      <c r="G100" s="127">
        <f>G98+4100</f>
        <v>19018</v>
      </c>
      <c r="H100" s="116">
        <v>35000</v>
      </c>
      <c r="I100" s="116">
        <f t="shared" si="4"/>
        <v>54018</v>
      </c>
      <c r="J100" s="116">
        <f t="shared" si="38"/>
        <v>5982111.9000000004</v>
      </c>
      <c r="K100" s="116">
        <f t="shared" si="39"/>
        <v>11009250</v>
      </c>
      <c r="L100" s="116">
        <f t="shared" ref="L100" si="45">(K100+J100)</f>
        <v>16991361.899999999</v>
      </c>
      <c r="M100" s="114">
        <v>20000</v>
      </c>
      <c r="N100" s="124"/>
      <c r="O100" s="124"/>
      <c r="P100" s="124"/>
      <c r="Q100" s="166">
        <f t="shared" si="40"/>
        <v>74018</v>
      </c>
      <c r="R100" s="167">
        <f t="shared" si="41"/>
        <v>23282361.900000002</v>
      </c>
      <c r="S100" s="221">
        <f t="shared" si="42"/>
        <v>1.6557041999867038E-2</v>
      </c>
    </row>
    <row r="101" spans="1:19">
      <c r="A101" s="94">
        <v>4</v>
      </c>
      <c r="B101" s="86" t="s">
        <v>52</v>
      </c>
      <c r="C101" s="61"/>
      <c r="D101" s="64"/>
      <c r="E101" s="151">
        <v>138.72999999999999</v>
      </c>
      <c r="F101" s="140" t="s">
        <v>14</v>
      </c>
      <c r="G101" s="127">
        <v>90844</v>
      </c>
      <c r="H101" s="116">
        <v>32500</v>
      </c>
      <c r="I101" s="116">
        <f t="shared" ref="I101" si="46">H101+G101</f>
        <v>123344</v>
      </c>
      <c r="J101" s="116">
        <f t="shared" ref="J101" si="47">E101*G101</f>
        <v>12602788.119999999</v>
      </c>
      <c r="K101" s="116">
        <f t="shared" ref="K101" si="48">E101*H101</f>
        <v>4508725</v>
      </c>
      <c r="L101" s="116">
        <f t="shared" si="44"/>
        <v>17111513.119999997</v>
      </c>
      <c r="M101" s="114">
        <v>44000</v>
      </c>
      <c r="N101" s="124"/>
      <c r="O101" s="124"/>
      <c r="P101" s="124"/>
      <c r="Q101" s="166">
        <f t="shared" si="40"/>
        <v>167344</v>
      </c>
      <c r="R101" s="167">
        <f t="shared" si="41"/>
        <v>23215633.119999997</v>
      </c>
      <c r="S101" s="221">
        <f t="shared" si="42"/>
        <v>1.6509588428884621E-2</v>
      </c>
    </row>
    <row r="102" spans="1:19">
      <c r="A102" s="94">
        <v>5</v>
      </c>
      <c r="B102" s="86" t="s">
        <v>53</v>
      </c>
      <c r="C102" s="61"/>
      <c r="D102" s="64"/>
      <c r="E102" s="151">
        <v>200</v>
      </c>
      <c r="F102" s="140" t="s">
        <v>14</v>
      </c>
      <c r="G102" s="127">
        <v>47670</v>
      </c>
      <c r="H102" s="116">
        <v>28000</v>
      </c>
      <c r="I102" s="116">
        <f t="shared" si="4"/>
        <v>75670</v>
      </c>
      <c r="J102" s="116">
        <f t="shared" si="38"/>
        <v>9534000</v>
      </c>
      <c r="K102" s="116">
        <f t="shared" si="39"/>
        <v>5600000</v>
      </c>
      <c r="L102" s="116">
        <f t="shared" si="44"/>
        <v>15134000</v>
      </c>
      <c r="M102" s="114">
        <v>24000</v>
      </c>
      <c r="N102" s="124"/>
      <c r="O102" s="124"/>
      <c r="P102" s="124"/>
      <c r="Q102" s="166">
        <f t="shared" si="40"/>
        <v>99670</v>
      </c>
      <c r="R102" s="167">
        <f t="shared" si="41"/>
        <v>19934000</v>
      </c>
      <c r="S102" s="221">
        <f t="shared" si="42"/>
        <v>1.4175884587780997E-2</v>
      </c>
    </row>
    <row r="103" spans="1:19">
      <c r="A103" s="94">
        <v>6</v>
      </c>
      <c r="B103" s="86" t="s">
        <v>75</v>
      </c>
      <c r="C103" s="61"/>
      <c r="D103" s="64"/>
      <c r="E103" s="151">
        <f>E102</f>
        <v>200</v>
      </c>
      <c r="F103" s="140" t="s">
        <v>14</v>
      </c>
      <c r="G103" s="127">
        <v>14918</v>
      </c>
      <c r="H103" s="116">
        <v>25000</v>
      </c>
      <c r="I103" s="116">
        <f t="shared" ref="I103" si="49">H103+G103</f>
        <v>39918</v>
      </c>
      <c r="J103" s="116">
        <f t="shared" ref="J103" si="50">E103*G103</f>
        <v>2983600</v>
      </c>
      <c r="K103" s="116">
        <f t="shared" ref="K103" si="51">E103*H103</f>
        <v>5000000</v>
      </c>
      <c r="L103" s="116">
        <f t="shared" ref="L103" si="52">(K103+J103)</f>
        <v>7983600</v>
      </c>
      <c r="M103" s="114">
        <v>16000</v>
      </c>
      <c r="N103" s="124"/>
      <c r="O103" s="124"/>
      <c r="P103" s="124"/>
      <c r="Q103" s="166">
        <f t="shared" si="40"/>
        <v>55918</v>
      </c>
      <c r="R103" s="167">
        <f t="shared" si="41"/>
        <v>11183600</v>
      </c>
      <c r="S103" s="221">
        <f t="shared" si="42"/>
        <v>7.9531164280078042E-3</v>
      </c>
    </row>
    <row r="104" spans="1:19">
      <c r="A104" s="94">
        <v>7</v>
      </c>
      <c r="B104" s="86" t="s">
        <v>61</v>
      </c>
      <c r="C104" s="61"/>
      <c r="D104" s="64"/>
      <c r="E104" s="151">
        <f>0.25*8*1</f>
        <v>2</v>
      </c>
      <c r="F104" s="140" t="s">
        <v>15</v>
      </c>
      <c r="G104" s="127">
        <v>700000</v>
      </c>
      <c r="H104" s="116">
        <v>150000</v>
      </c>
      <c r="I104" s="117">
        <f t="shared" ref="I104:I105" si="53">H104+G104</f>
        <v>850000</v>
      </c>
      <c r="J104" s="117">
        <f t="shared" ref="J104:J105" si="54">E104*G104</f>
        <v>1400000</v>
      </c>
      <c r="K104" s="117">
        <f t="shared" ref="K104:K105" si="55">E104*H104</f>
        <v>300000</v>
      </c>
      <c r="L104" s="116">
        <f t="shared" si="44"/>
        <v>1700000</v>
      </c>
      <c r="M104" s="114">
        <v>300000</v>
      </c>
      <c r="N104" s="124"/>
      <c r="O104" s="124"/>
      <c r="P104" s="124"/>
      <c r="Q104" s="166">
        <f t="shared" si="40"/>
        <v>1150000</v>
      </c>
      <c r="R104" s="167">
        <f t="shared" si="41"/>
        <v>2300000</v>
      </c>
      <c r="S104" s="221">
        <f t="shared" si="42"/>
        <v>1.6356242877443711E-3</v>
      </c>
    </row>
    <row r="105" spans="1:19">
      <c r="A105" s="94">
        <v>8</v>
      </c>
      <c r="B105" s="86" t="s">
        <v>73</v>
      </c>
      <c r="C105" s="61"/>
      <c r="D105" s="64"/>
      <c r="E105" s="151">
        <v>162.80000000000001</v>
      </c>
      <c r="F105" s="140" t="s">
        <v>72</v>
      </c>
      <c r="G105" s="127">
        <v>9000</v>
      </c>
      <c r="H105" s="116">
        <v>2000</v>
      </c>
      <c r="I105" s="117">
        <f t="shared" si="53"/>
        <v>11000</v>
      </c>
      <c r="J105" s="117">
        <f t="shared" si="54"/>
        <v>1465200</v>
      </c>
      <c r="K105" s="117">
        <f t="shared" si="55"/>
        <v>325600</v>
      </c>
      <c r="L105" s="116">
        <f t="shared" ref="L105:L106" si="56">(K105+J105)</f>
        <v>1790800</v>
      </c>
      <c r="M105" s="114">
        <v>36000</v>
      </c>
      <c r="N105" s="124"/>
      <c r="O105" s="124"/>
      <c r="P105" s="124"/>
      <c r="Q105" s="166">
        <f t="shared" si="40"/>
        <v>47000</v>
      </c>
      <c r="R105" s="167">
        <f t="shared" si="41"/>
        <v>7651600.0000000009</v>
      </c>
      <c r="S105" s="221">
        <f t="shared" si="42"/>
        <v>5.4413664348281878E-3</v>
      </c>
    </row>
    <row r="106" spans="1:19">
      <c r="A106" s="94">
        <v>9</v>
      </c>
      <c r="B106" s="86" t="s">
        <v>55</v>
      </c>
      <c r="C106" s="61"/>
      <c r="D106" s="64"/>
      <c r="E106" s="157">
        <f>80*0.1</f>
        <v>8</v>
      </c>
      <c r="F106" s="158" t="s">
        <v>15</v>
      </c>
      <c r="G106" s="127">
        <v>700000</v>
      </c>
      <c r="H106" s="116">
        <v>150000</v>
      </c>
      <c r="I106" s="117">
        <f t="shared" ref="I106" si="57">H106+G106</f>
        <v>850000</v>
      </c>
      <c r="J106" s="117">
        <f t="shared" ref="J106" si="58">E106*G106</f>
        <v>5600000</v>
      </c>
      <c r="K106" s="117">
        <f t="shared" ref="K106" si="59">E106*H106</f>
        <v>1200000</v>
      </c>
      <c r="L106" s="116">
        <f t="shared" si="56"/>
        <v>6800000</v>
      </c>
      <c r="M106" s="114">
        <v>300000</v>
      </c>
      <c r="N106" s="124"/>
      <c r="O106" s="124"/>
      <c r="P106" s="124"/>
      <c r="Q106" s="166">
        <f t="shared" si="40"/>
        <v>1150000</v>
      </c>
      <c r="R106" s="167">
        <f t="shared" si="41"/>
        <v>9200000</v>
      </c>
      <c r="S106" s="221">
        <f t="shared" si="42"/>
        <v>6.5424971509774844E-3</v>
      </c>
    </row>
    <row r="107" spans="1:19" ht="16" thickBot="1">
      <c r="A107" s="94">
        <v>10</v>
      </c>
      <c r="B107" s="86" t="s">
        <v>74</v>
      </c>
      <c r="C107" s="61"/>
      <c r="D107" s="64"/>
      <c r="E107" s="145">
        <v>80</v>
      </c>
      <c r="F107" s="146" t="s">
        <v>14</v>
      </c>
      <c r="G107" s="129">
        <v>40000</v>
      </c>
      <c r="H107" s="118">
        <v>4000</v>
      </c>
      <c r="I107" s="118">
        <f t="shared" si="4"/>
        <v>44000</v>
      </c>
      <c r="J107" s="118">
        <f t="shared" si="38"/>
        <v>3200000</v>
      </c>
      <c r="K107" s="118">
        <f t="shared" si="39"/>
        <v>320000</v>
      </c>
      <c r="L107" s="116">
        <f t="shared" si="44"/>
        <v>3520000</v>
      </c>
      <c r="M107" s="114">
        <v>16000</v>
      </c>
      <c r="N107" s="124"/>
      <c r="O107" s="124"/>
      <c r="P107" s="124"/>
      <c r="Q107" s="166">
        <f t="shared" si="40"/>
        <v>60000</v>
      </c>
      <c r="R107" s="167">
        <f t="shared" si="41"/>
        <v>4800000</v>
      </c>
      <c r="S107" s="221">
        <f t="shared" si="42"/>
        <v>3.4134767744230356E-3</v>
      </c>
    </row>
    <row r="108" spans="1:19">
      <c r="A108" s="62"/>
      <c r="B108" s="63"/>
      <c r="C108" s="61"/>
      <c r="D108" s="64"/>
      <c r="E108" s="147"/>
      <c r="F108" s="148"/>
      <c r="G108" s="134"/>
      <c r="H108" s="130"/>
      <c r="I108" s="119"/>
      <c r="J108" s="119"/>
      <c r="K108" s="119"/>
      <c r="L108" s="119">
        <f>SUM(L97:L107)</f>
        <v>173167757.02000001</v>
      </c>
      <c r="Q108" s="168" t="s">
        <v>178</v>
      </c>
      <c r="R108" s="169">
        <f>SUM(R97:R107)</f>
        <v>240978677.02000001</v>
      </c>
    </row>
    <row r="109" spans="1:19">
      <c r="A109" s="87"/>
      <c r="B109" s="86"/>
      <c r="C109" s="61"/>
      <c r="D109" s="64"/>
      <c r="E109" s="159"/>
      <c r="F109" s="154"/>
      <c r="G109" s="134"/>
      <c r="H109" s="130"/>
      <c r="I109" s="119"/>
      <c r="J109" s="119"/>
      <c r="K109" s="119"/>
      <c r="L109" s="119"/>
      <c r="Q109" s="165"/>
      <c r="R109" s="165"/>
    </row>
    <row r="110" spans="1:19">
      <c r="A110" s="88" t="s">
        <v>10</v>
      </c>
      <c r="B110" s="95" t="s">
        <v>19</v>
      </c>
      <c r="C110" s="160"/>
      <c r="D110" s="164"/>
      <c r="E110" s="151"/>
      <c r="F110" s="140"/>
      <c r="G110" s="127"/>
      <c r="H110" s="116"/>
      <c r="I110" s="116"/>
      <c r="J110" s="116"/>
      <c r="K110" s="116"/>
      <c r="L110" s="116"/>
      <c r="Q110" s="165"/>
      <c r="R110" s="165"/>
    </row>
    <row r="111" spans="1:19">
      <c r="A111" s="87">
        <v>1</v>
      </c>
      <c r="B111" s="86" t="s">
        <v>167</v>
      </c>
      <c r="C111" s="61"/>
      <c r="D111" s="64"/>
      <c r="E111" s="151">
        <v>48</v>
      </c>
      <c r="F111" s="140" t="s">
        <v>17</v>
      </c>
      <c r="G111" s="127">
        <f>72000+10000</f>
        <v>82000</v>
      </c>
      <c r="H111" s="116">
        <v>15000</v>
      </c>
      <c r="I111" s="116">
        <f>H111+G111</f>
        <v>97000</v>
      </c>
      <c r="J111" s="116">
        <f>E111*G111</f>
        <v>3936000</v>
      </c>
      <c r="K111" s="116">
        <f t="shared" ref="K111:K115" si="60">E111*H111</f>
        <v>720000</v>
      </c>
      <c r="L111" s="116">
        <f t="shared" ref="L111:L115" si="61">K111+J111</f>
        <v>4656000</v>
      </c>
      <c r="M111" s="114">
        <v>60000</v>
      </c>
      <c r="N111" s="124"/>
      <c r="O111" s="124"/>
      <c r="P111" s="124"/>
      <c r="Q111" s="166">
        <f>M111+I111</f>
        <v>157000</v>
      </c>
      <c r="R111" s="165">
        <f>Q111*E111</f>
        <v>7536000</v>
      </c>
      <c r="S111" s="221">
        <f t="shared" ref="S111:S114" si="62">R111/$R$3</f>
        <v>5.3591585358441661E-3</v>
      </c>
    </row>
    <row r="112" spans="1:19">
      <c r="A112" s="87">
        <f t="shared" ref="A112:A114" si="63">A111+1</f>
        <v>2</v>
      </c>
      <c r="B112" s="86" t="s">
        <v>168</v>
      </c>
      <c r="C112" s="61"/>
      <c r="D112" s="64"/>
      <c r="E112" s="151">
        <v>15</v>
      </c>
      <c r="F112" s="140" t="s">
        <v>17</v>
      </c>
      <c r="G112" s="127">
        <f t="shared" ref="G112:G114" si="64">72000+10000</f>
        <v>82000</v>
      </c>
      <c r="H112" s="116">
        <v>15000</v>
      </c>
      <c r="I112" s="116">
        <f t="shared" ref="I112:I115" si="65">H112+G112</f>
        <v>97000</v>
      </c>
      <c r="J112" s="116">
        <f t="shared" ref="J112:J115" si="66">E112*G112</f>
        <v>1230000</v>
      </c>
      <c r="K112" s="116">
        <f t="shared" si="60"/>
        <v>225000</v>
      </c>
      <c r="L112" s="116">
        <f t="shared" si="61"/>
        <v>1455000</v>
      </c>
      <c r="M112" s="114">
        <v>60000</v>
      </c>
      <c r="N112" s="124"/>
      <c r="O112" s="124"/>
      <c r="P112" s="124"/>
      <c r="Q112" s="166">
        <f>M112+I112</f>
        <v>157000</v>
      </c>
      <c r="R112" s="165">
        <f>Q112*E112</f>
        <v>2355000</v>
      </c>
      <c r="S112" s="221">
        <f t="shared" si="62"/>
        <v>1.6747370424513017E-3</v>
      </c>
    </row>
    <row r="113" spans="1:19">
      <c r="A113" s="87">
        <f t="shared" si="63"/>
        <v>3</v>
      </c>
      <c r="B113" s="86" t="s">
        <v>169</v>
      </c>
      <c r="C113" s="61"/>
      <c r="D113" s="64"/>
      <c r="E113" s="151">
        <v>11</v>
      </c>
      <c r="F113" s="140" t="s">
        <v>17</v>
      </c>
      <c r="G113" s="127">
        <f t="shared" si="64"/>
        <v>82000</v>
      </c>
      <c r="H113" s="116">
        <v>15000</v>
      </c>
      <c r="I113" s="116">
        <f t="shared" si="65"/>
        <v>97000</v>
      </c>
      <c r="J113" s="116">
        <f t="shared" si="66"/>
        <v>902000</v>
      </c>
      <c r="K113" s="116">
        <f t="shared" si="60"/>
        <v>165000</v>
      </c>
      <c r="L113" s="116">
        <f t="shared" si="61"/>
        <v>1067000</v>
      </c>
      <c r="M113" s="114">
        <v>60000</v>
      </c>
      <c r="N113" s="124"/>
      <c r="O113" s="124"/>
      <c r="P113" s="124"/>
      <c r="Q113" s="166">
        <f>M113+I113</f>
        <v>157000</v>
      </c>
      <c r="R113" s="165">
        <f>Q113*E113</f>
        <v>1727000</v>
      </c>
      <c r="S113" s="221">
        <f t="shared" si="62"/>
        <v>1.2281404977976212E-3</v>
      </c>
    </row>
    <row r="114" spans="1:19">
      <c r="A114" s="87">
        <f t="shared" si="63"/>
        <v>4</v>
      </c>
      <c r="B114" s="86" t="s">
        <v>170</v>
      </c>
      <c r="C114" s="61"/>
      <c r="D114" s="64"/>
      <c r="E114" s="151">
        <v>26</v>
      </c>
      <c r="F114" s="140" t="s">
        <v>16</v>
      </c>
      <c r="G114" s="127">
        <f t="shared" si="64"/>
        <v>82000</v>
      </c>
      <c r="H114" s="116">
        <v>15000</v>
      </c>
      <c r="I114" s="116">
        <f t="shared" si="65"/>
        <v>97000</v>
      </c>
      <c r="J114" s="116">
        <f t="shared" si="66"/>
        <v>2132000</v>
      </c>
      <c r="K114" s="116">
        <f t="shared" si="60"/>
        <v>390000</v>
      </c>
      <c r="L114" s="116">
        <f t="shared" si="61"/>
        <v>2522000</v>
      </c>
      <c r="M114" s="114">
        <v>60000</v>
      </c>
      <c r="N114" s="124"/>
      <c r="O114" s="124"/>
      <c r="P114" s="124"/>
      <c r="Q114" s="166">
        <f>M114+I114</f>
        <v>157000</v>
      </c>
      <c r="R114" s="165">
        <f>Q114*E114</f>
        <v>4082000</v>
      </c>
      <c r="S114" s="221">
        <f t="shared" si="62"/>
        <v>2.9028775402489232E-3</v>
      </c>
    </row>
    <row r="115" spans="1:19" ht="16" thickBot="1">
      <c r="A115" s="87"/>
      <c r="B115" s="86"/>
      <c r="C115" s="61"/>
      <c r="D115" s="64"/>
      <c r="E115" s="145">
        <v>0</v>
      </c>
      <c r="F115" s="146"/>
      <c r="G115" s="129">
        <v>0</v>
      </c>
      <c r="H115" s="118">
        <v>0</v>
      </c>
      <c r="I115" s="118">
        <f t="shared" si="65"/>
        <v>0</v>
      </c>
      <c r="J115" s="118">
        <f t="shared" si="66"/>
        <v>0</v>
      </c>
      <c r="K115" s="118">
        <f t="shared" si="60"/>
        <v>0</v>
      </c>
      <c r="L115" s="118">
        <f t="shared" si="61"/>
        <v>0</v>
      </c>
      <c r="Q115" s="165"/>
      <c r="R115" s="165"/>
    </row>
    <row r="116" spans="1:19">
      <c r="A116" s="87"/>
      <c r="B116" s="86"/>
      <c r="C116" s="61"/>
      <c r="D116" s="64"/>
      <c r="E116" s="159"/>
      <c r="F116" s="154"/>
      <c r="G116" s="134"/>
      <c r="H116" s="130"/>
      <c r="I116" s="119"/>
      <c r="J116" s="119"/>
      <c r="K116" s="119"/>
      <c r="L116" s="119">
        <f>SUM(L111:L115)</f>
        <v>9700000</v>
      </c>
      <c r="Q116" s="168" t="s">
        <v>178</v>
      </c>
      <c r="R116" s="170">
        <f>SUM(R111:R115)</f>
        <v>15700000</v>
      </c>
    </row>
    <row r="117" spans="1:19">
      <c r="A117" s="88" t="s">
        <v>21</v>
      </c>
      <c r="B117" s="95" t="s">
        <v>12</v>
      </c>
      <c r="C117" s="162"/>
      <c r="D117" s="163"/>
      <c r="E117" s="151"/>
      <c r="F117" s="140"/>
      <c r="G117" s="131"/>
      <c r="H117" s="120"/>
      <c r="I117" s="120"/>
      <c r="J117" s="120"/>
      <c r="K117" s="120"/>
      <c r="L117" s="120"/>
      <c r="Q117" s="165"/>
      <c r="R117" s="165"/>
    </row>
    <row r="118" spans="1:19">
      <c r="A118" s="87">
        <v>1</v>
      </c>
      <c r="B118" s="86" t="s">
        <v>32</v>
      </c>
      <c r="C118" s="101"/>
      <c r="D118" s="102"/>
      <c r="E118" s="151">
        <v>126</v>
      </c>
      <c r="F118" s="140" t="s">
        <v>13</v>
      </c>
      <c r="G118" s="131">
        <v>125882</v>
      </c>
      <c r="H118" s="120">
        <v>10000</v>
      </c>
      <c r="I118" s="120">
        <f t="shared" ref="I118:I123" si="67">H118+G118</f>
        <v>135882</v>
      </c>
      <c r="J118" s="120">
        <f t="shared" ref="J118:J123" si="68">E118*G118</f>
        <v>15861132</v>
      </c>
      <c r="K118" s="120">
        <f t="shared" ref="K118:K123" si="69">E118*H118</f>
        <v>1260000</v>
      </c>
      <c r="L118" s="120">
        <f t="shared" ref="L118:L123" si="70">K118+J118</f>
        <v>17121132</v>
      </c>
      <c r="M118" s="114">
        <v>50000</v>
      </c>
      <c r="N118" s="124"/>
      <c r="O118" s="124"/>
      <c r="P118" s="124"/>
      <c r="Q118" s="166">
        <f>M118+I118</f>
        <v>185882</v>
      </c>
      <c r="R118" s="167">
        <f>Q118*E118</f>
        <v>23421132</v>
      </c>
      <c r="S118" s="221">
        <f t="shared" ref="S118:S122" si="71">R118/$R$3</f>
        <v>1.6655727106811697E-2</v>
      </c>
    </row>
    <row r="119" spans="1:19">
      <c r="A119" s="87">
        <f>A118+1</f>
        <v>2</v>
      </c>
      <c r="B119" s="86" t="s">
        <v>34</v>
      </c>
      <c r="C119" s="101"/>
      <c r="D119" s="102"/>
      <c r="E119" s="151">
        <v>108.5</v>
      </c>
      <c r="F119" s="140" t="s">
        <v>13</v>
      </c>
      <c r="G119" s="131">
        <v>95518</v>
      </c>
      <c r="H119" s="120">
        <v>10000</v>
      </c>
      <c r="I119" s="120">
        <f t="shared" si="67"/>
        <v>105518</v>
      </c>
      <c r="J119" s="120">
        <f t="shared" si="68"/>
        <v>10363703</v>
      </c>
      <c r="K119" s="120">
        <f t="shared" si="69"/>
        <v>1085000</v>
      </c>
      <c r="L119" s="120">
        <f t="shared" si="70"/>
        <v>11448703</v>
      </c>
      <c r="M119" s="114">
        <v>45000</v>
      </c>
      <c r="N119" s="124"/>
      <c r="O119" s="124"/>
      <c r="P119" s="124"/>
      <c r="Q119" s="166">
        <f>M119+I119</f>
        <v>150518</v>
      </c>
      <c r="R119" s="167">
        <f>Q119*E119</f>
        <v>16331203</v>
      </c>
      <c r="S119" s="221">
        <f t="shared" si="71"/>
        <v>1.1613787945601625E-2</v>
      </c>
    </row>
    <row r="120" spans="1:19">
      <c r="A120" s="87">
        <f t="shared" ref="A120:A122" si="72">A119+1</f>
        <v>3</v>
      </c>
      <c r="B120" s="86" t="s">
        <v>35</v>
      </c>
      <c r="C120" s="101"/>
      <c r="D120" s="102"/>
      <c r="E120" s="151">
        <v>133.30000000000001</v>
      </c>
      <c r="F120" s="140" t="s">
        <v>13</v>
      </c>
      <c r="G120" s="131">
        <v>29800</v>
      </c>
      <c r="H120" s="120">
        <v>10000</v>
      </c>
      <c r="I120" s="120">
        <f t="shared" si="67"/>
        <v>39800</v>
      </c>
      <c r="J120" s="120">
        <f t="shared" si="68"/>
        <v>3972340.0000000005</v>
      </c>
      <c r="K120" s="120">
        <f t="shared" si="69"/>
        <v>1333000</v>
      </c>
      <c r="L120" s="120">
        <f t="shared" si="70"/>
        <v>5305340</v>
      </c>
      <c r="M120" s="114">
        <v>22000</v>
      </c>
      <c r="N120" s="124"/>
      <c r="O120" s="124"/>
      <c r="P120" s="124"/>
      <c r="Q120" s="166">
        <f>M120+I120</f>
        <v>61800</v>
      </c>
      <c r="R120" s="167">
        <f>Q120*E120</f>
        <v>8237940.0000000009</v>
      </c>
      <c r="S120" s="221">
        <f t="shared" si="71"/>
        <v>5.8583368456438549E-3</v>
      </c>
    </row>
    <row r="121" spans="1:19">
      <c r="A121" s="87">
        <f t="shared" si="72"/>
        <v>4</v>
      </c>
      <c r="B121" s="86" t="s">
        <v>171</v>
      </c>
      <c r="C121" s="101"/>
      <c r="D121" s="102"/>
      <c r="E121" s="151">
        <f>E120/2</f>
        <v>66.650000000000006</v>
      </c>
      <c r="F121" s="140" t="s">
        <v>13</v>
      </c>
      <c r="G121" s="131">
        <v>19800</v>
      </c>
      <c r="H121" s="120">
        <v>10000</v>
      </c>
      <c r="I121" s="120">
        <f t="shared" si="67"/>
        <v>29800</v>
      </c>
      <c r="J121" s="120">
        <f t="shared" si="68"/>
        <v>1319670</v>
      </c>
      <c r="K121" s="120">
        <f t="shared" si="69"/>
        <v>666500</v>
      </c>
      <c r="L121" s="120">
        <f t="shared" si="70"/>
        <v>1986170</v>
      </c>
      <c r="M121" s="114">
        <v>18000</v>
      </c>
      <c r="N121" s="124"/>
      <c r="O121" s="124"/>
      <c r="P121" s="124"/>
      <c r="Q121" s="166">
        <f>M121+I121</f>
        <v>47800</v>
      </c>
      <c r="R121" s="167">
        <f>Q121*E121</f>
        <v>3185870.0000000005</v>
      </c>
      <c r="S121" s="221">
        <f t="shared" si="71"/>
        <v>2.2656027606939829E-3</v>
      </c>
    </row>
    <row r="122" spans="1:19">
      <c r="A122" s="87">
        <f t="shared" si="72"/>
        <v>5</v>
      </c>
      <c r="B122" s="86" t="s">
        <v>33</v>
      </c>
      <c r="C122" s="101"/>
      <c r="D122" s="102"/>
      <c r="E122" s="151">
        <f>0.75*15</f>
        <v>11.25</v>
      </c>
      <c r="F122" s="140" t="s">
        <v>13</v>
      </c>
      <c r="G122" s="131">
        <v>13300</v>
      </c>
      <c r="H122" s="120">
        <v>10000</v>
      </c>
      <c r="I122" s="120">
        <f t="shared" si="67"/>
        <v>23300</v>
      </c>
      <c r="J122" s="120">
        <f t="shared" si="68"/>
        <v>149625</v>
      </c>
      <c r="K122" s="120">
        <f t="shared" si="69"/>
        <v>112500</v>
      </c>
      <c r="L122" s="120">
        <f t="shared" si="70"/>
        <v>262125</v>
      </c>
      <c r="M122" s="114">
        <v>12000</v>
      </c>
      <c r="N122" s="124"/>
      <c r="O122" s="124"/>
      <c r="P122" s="124"/>
      <c r="Q122" s="166">
        <f>M122+I122</f>
        <v>35300</v>
      </c>
      <c r="R122" s="167">
        <f>Q122*E122</f>
        <v>397125</v>
      </c>
      <c r="S122" s="221">
        <f t="shared" si="71"/>
        <v>2.8241186750890585E-4</v>
      </c>
    </row>
    <row r="123" spans="1:19" ht="16" thickBot="1">
      <c r="A123" s="87"/>
      <c r="B123" s="86"/>
      <c r="C123" s="101"/>
      <c r="D123" s="102"/>
      <c r="E123" s="145"/>
      <c r="F123" s="146"/>
      <c r="G123" s="132">
        <v>0</v>
      </c>
      <c r="H123" s="121">
        <v>0</v>
      </c>
      <c r="I123" s="121">
        <f t="shared" si="67"/>
        <v>0</v>
      </c>
      <c r="J123" s="121">
        <f t="shared" si="68"/>
        <v>0</v>
      </c>
      <c r="K123" s="121">
        <f t="shared" si="69"/>
        <v>0</v>
      </c>
      <c r="L123" s="121">
        <f t="shared" si="70"/>
        <v>0</v>
      </c>
      <c r="Q123" s="165"/>
      <c r="R123" s="165"/>
    </row>
    <row r="124" spans="1:19">
      <c r="A124" s="87"/>
      <c r="B124" s="86"/>
      <c r="C124" s="101"/>
      <c r="D124" s="102"/>
      <c r="E124" s="159"/>
      <c r="F124" s="154"/>
      <c r="G124" s="133"/>
      <c r="H124" s="122"/>
      <c r="I124" s="123"/>
      <c r="J124" s="123"/>
      <c r="K124" s="123"/>
      <c r="L124" s="123">
        <f>SUM(L118:L123)</f>
        <v>36123470</v>
      </c>
      <c r="Q124" s="168" t="s">
        <v>178</v>
      </c>
      <c r="R124" s="169">
        <f>SUM(R118:R123)</f>
        <v>51573270</v>
      </c>
    </row>
    <row r="125" spans="1:19">
      <c r="A125" s="87"/>
      <c r="B125" s="86"/>
      <c r="C125" s="61"/>
      <c r="D125" s="64"/>
      <c r="E125" s="159"/>
      <c r="F125" s="154"/>
      <c r="G125" s="134"/>
      <c r="H125" s="130"/>
      <c r="I125" s="119"/>
      <c r="J125" s="119"/>
      <c r="K125" s="119"/>
      <c r="L125" s="119"/>
      <c r="Q125" s="165"/>
      <c r="R125" s="165"/>
    </row>
    <row r="126" spans="1:19">
      <c r="A126" s="87"/>
      <c r="B126" s="86"/>
      <c r="C126" s="61"/>
      <c r="D126" s="64"/>
      <c r="E126" s="151"/>
      <c r="F126" s="140"/>
      <c r="G126" s="127"/>
      <c r="H126" s="116"/>
      <c r="I126" s="116"/>
      <c r="J126" s="116"/>
      <c r="K126" s="116"/>
      <c r="L126" s="116"/>
      <c r="Q126" s="165"/>
      <c r="R126" s="165"/>
    </row>
    <row r="127" spans="1:19">
      <c r="A127" s="88" t="s">
        <v>22</v>
      </c>
      <c r="B127" s="95" t="s">
        <v>20</v>
      </c>
      <c r="C127" s="160"/>
      <c r="D127" s="164"/>
      <c r="E127" s="151"/>
      <c r="F127" s="140"/>
      <c r="G127" s="127"/>
      <c r="H127" s="116"/>
      <c r="I127" s="116"/>
      <c r="J127" s="116"/>
      <c r="K127" s="116"/>
      <c r="L127" s="116"/>
      <c r="Q127" s="165"/>
      <c r="R127" s="165"/>
    </row>
    <row r="128" spans="1:19">
      <c r="A128" s="87">
        <v>1</v>
      </c>
      <c r="B128" s="86" t="s">
        <v>189</v>
      </c>
      <c r="C128" s="61"/>
      <c r="D128" s="64"/>
      <c r="E128" s="151">
        <f>(512+585.6)*2</f>
        <v>2195.1999999999998</v>
      </c>
      <c r="F128" s="140" t="s">
        <v>72</v>
      </c>
      <c r="G128" s="127">
        <v>12645</v>
      </c>
      <c r="H128" s="116">
        <v>12195</v>
      </c>
      <c r="I128" s="116">
        <f t="shared" ref="I128:I133" si="73">H128+G128</f>
        <v>24840</v>
      </c>
      <c r="J128" s="116">
        <f t="shared" ref="J128:J133" si="74">E128*G128</f>
        <v>27758303.999999996</v>
      </c>
      <c r="K128" s="116">
        <f t="shared" ref="K128:K133" si="75">E128*H128</f>
        <v>26770463.999999996</v>
      </c>
      <c r="L128" s="116">
        <f t="shared" ref="L128:L133" si="76">K128+J128</f>
        <v>54528767.999999993</v>
      </c>
      <c r="M128" s="114">
        <v>12000</v>
      </c>
      <c r="N128" s="124"/>
      <c r="O128" s="124"/>
      <c r="P128" s="124"/>
      <c r="Q128" s="166">
        <f t="shared" ref="Q128:Q134" si="77">M128+I128</f>
        <v>36840</v>
      </c>
      <c r="R128" s="167">
        <f t="shared" ref="R128:R134" si="78">Q128*E128</f>
        <v>80871168</v>
      </c>
      <c r="S128" s="221">
        <f t="shared" ref="S128:S134" si="79">R128/$R$3</f>
        <v>5.7510802851763208E-2</v>
      </c>
    </row>
    <row r="129" spans="1:19">
      <c r="A129" s="87">
        <f>A128+1</f>
        <v>2</v>
      </c>
      <c r="B129" s="86" t="s">
        <v>76</v>
      </c>
      <c r="C129" s="61"/>
      <c r="D129" s="64"/>
      <c r="E129" s="151">
        <f>(7.2*17.9)+(8.3*17.9)</f>
        <v>277.45</v>
      </c>
      <c r="F129" s="140" t="s">
        <v>14</v>
      </c>
      <c r="G129" s="127">
        <v>100000</v>
      </c>
      <c r="H129" s="116">
        <v>43000</v>
      </c>
      <c r="I129" s="116">
        <f t="shared" si="73"/>
        <v>143000</v>
      </c>
      <c r="J129" s="116">
        <f t="shared" si="74"/>
        <v>27745000</v>
      </c>
      <c r="K129" s="116">
        <f t="shared" si="75"/>
        <v>11930350</v>
      </c>
      <c r="L129" s="116">
        <f t="shared" si="76"/>
        <v>39675350</v>
      </c>
      <c r="M129" s="114">
        <v>50000</v>
      </c>
      <c r="N129" s="124"/>
      <c r="O129" s="124"/>
      <c r="P129" s="124"/>
      <c r="Q129" s="166">
        <f t="shared" si="77"/>
        <v>193000</v>
      </c>
      <c r="R129" s="167">
        <f t="shared" si="78"/>
        <v>53547850</v>
      </c>
      <c r="S129" s="221">
        <f t="shared" si="79"/>
        <v>3.8080071311518443E-2</v>
      </c>
    </row>
    <row r="130" spans="1:19">
      <c r="A130" s="87">
        <f t="shared" ref="A130:A131" si="80">A129+1</f>
        <v>3</v>
      </c>
      <c r="B130" s="86" t="s">
        <v>77</v>
      </c>
      <c r="C130" s="61"/>
      <c r="D130" s="64"/>
      <c r="E130" s="157">
        <v>17.899999999999999</v>
      </c>
      <c r="F130" s="158" t="s">
        <v>13</v>
      </c>
      <c r="G130" s="128">
        <v>95700</v>
      </c>
      <c r="H130" s="117">
        <v>40000</v>
      </c>
      <c r="I130" s="116">
        <f t="shared" si="73"/>
        <v>135700</v>
      </c>
      <c r="J130" s="116">
        <f t="shared" si="74"/>
        <v>1713029.9999999998</v>
      </c>
      <c r="K130" s="116">
        <f t="shared" si="75"/>
        <v>716000</v>
      </c>
      <c r="L130" s="116">
        <f t="shared" si="76"/>
        <v>2429030</v>
      </c>
      <c r="M130" s="114">
        <v>45000</v>
      </c>
      <c r="N130" s="124"/>
      <c r="O130" s="124"/>
      <c r="P130" s="124"/>
      <c r="Q130" s="166">
        <f t="shared" si="77"/>
        <v>180700</v>
      </c>
      <c r="R130" s="167">
        <f t="shared" si="78"/>
        <v>3234529.9999999995</v>
      </c>
      <c r="S130" s="221">
        <f t="shared" si="79"/>
        <v>2.3002068814946958E-3</v>
      </c>
    </row>
    <row r="131" spans="1:19">
      <c r="A131" s="87">
        <f t="shared" si="80"/>
        <v>4</v>
      </c>
      <c r="B131" s="86" t="s">
        <v>50</v>
      </c>
      <c r="C131" s="61"/>
      <c r="D131" s="64"/>
      <c r="E131" s="157">
        <f>E130*2</f>
        <v>35.799999999999997</v>
      </c>
      <c r="F131" s="158" t="s">
        <v>13</v>
      </c>
      <c r="G131" s="128">
        <v>75000</v>
      </c>
      <c r="H131" s="117">
        <v>20000</v>
      </c>
      <c r="I131" s="116">
        <f t="shared" si="73"/>
        <v>95000</v>
      </c>
      <c r="J131" s="116">
        <f t="shared" si="74"/>
        <v>2685000</v>
      </c>
      <c r="K131" s="116">
        <f t="shared" si="75"/>
        <v>716000</v>
      </c>
      <c r="L131" s="116">
        <f t="shared" si="76"/>
        <v>3401000</v>
      </c>
      <c r="M131" s="114">
        <v>35000</v>
      </c>
      <c r="N131" s="124"/>
      <c r="O131" s="124"/>
      <c r="P131" s="124"/>
      <c r="Q131" s="166">
        <f t="shared" si="77"/>
        <v>130000</v>
      </c>
      <c r="R131" s="167">
        <f t="shared" si="78"/>
        <v>4654000</v>
      </c>
      <c r="S131" s="221">
        <f t="shared" si="79"/>
        <v>3.3096501892010016E-3</v>
      </c>
    </row>
    <row r="132" spans="1:19">
      <c r="A132" s="87">
        <v>5</v>
      </c>
      <c r="B132" s="86" t="s">
        <v>49</v>
      </c>
      <c r="C132" s="61"/>
      <c r="D132" s="64"/>
      <c r="E132" s="157">
        <v>31</v>
      </c>
      <c r="F132" s="158" t="s">
        <v>13</v>
      </c>
      <c r="G132" s="128">
        <v>52000</v>
      </c>
      <c r="H132" s="117">
        <v>20000</v>
      </c>
      <c r="I132" s="116">
        <f t="shared" si="73"/>
        <v>72000</v>
      </c>
      <c r="J132" s="116">
        <f t="shared" si="74"/>
        <v>1612000</v>
      </c>
      <c r="K132" s="116">
        <f t="shared" si="75"/>
        <v>620000</v>
      </c>
      <c r="L132" s="116">
        <f t="shared" si="76"/>
        <v>2232000</v>
      </c>
      <c r="M132" s="114">
        <v>35000</v>
      </c>
      <c r="N132" s="124"/>
      <c r="O132" s="124"/>
      <c r="P132" s="124"/>
      <c r="Q132" s="166">
        <f t="shared" si="77"/>
        <v>107000</v>
      </c>
      <c r="R132" s="167">
        <f t="shared" si="78"/>
        <v>3317000</v>
      </c>
      <c r="S132" s="221">
        <f t="shared" si="79"/>
        <v>2.3588546793252519E-3</v>
      </c>
    </row>
    <row r="133" spans="1:19">
      <c r="A133" s="87">
        <v>6</v>
      </c>
      <c r="B133" s="86" t="s">
        <v>78</v>
      </c>
      <c r="C133" s="61"/>
      <c r="D133" s="64"/>
      <c r="E133" s="157">
        <f>(4.3*4.1)</f>
        <v>17.63</v>
      </c>
      <c r="F133" s="158" t="s">
        <v>14</v>
      </c>
      <c r="G133" s="128">
        <v>116600</v>
      </c>
      <c r="H133" s="117">
        <v>30000</v>
      </c>
      <c r="I133" s="116">
        <f t="shared" si="73"/>
        <v>146600</v>
      </c>
      <c r="J133" s="116">
        <f t="shared" si="74"/>
        <v>2055658</v>
      </c>
      <c r="K133" s="116">
        <f t="shared" si="75"/>
        <v>528900</v>
      </c>
      <c r="L133" s="116">
        <f t="shared" si="76"/>
        <v>2584558</v>
      </c>
      <c r="M133" s="114">
        <v>52000</v>
      </c>
      <c r="N133" s="124"/>
      <c r="O133" s="124"/>
      <c r="P133" s="124"/>
      <c r="Q133" s="166">
        <f t="shared" si="77"/>
        <v>198600</v>
      </c>
      <c r="R133" s="167">
        <f t="shared" si="78"/>
        <v>3501318</v>
      </c>
      <c r="S133" s="221">
        <f t="shared" si="79"/>
        <v>2.4899307651811069E-3</v>
      </c>
    </row>
    <row r="134" spans="1:19">
      <c r="A134" s="87">
        <v>7</v>
      </c>
      <c r="B134" s="86" t="s">
        <v>79</v>
      </c>
      <c r="C134" s="61"/>
      <c r="D134" s="64"/>
      <c r="E134" s="157">
        <f>(4.3*4.1)</f>
        <v>17.63</v>
      </c>
      <c r="F134" s="158" t="s">
        <v>14</v>
      </c>
      <c r="G134" s="128">
        <v>125000</v>
      </c>
      <c r="H134" s="117">
        <v>50000</v>
      </c>
      <c r="I134" s="116">
        <f t="shared" ref="I134" si="81">H134+G134</f>
        <v>175000</v>
      </c>
      <c r="J134" s="116">
        <f t="shared" ref="J134" si="82">E134*G134</f>
        <v>2203750</v>
      </c>
      <c r="K134" s="116">
        <f t="shared" ref="K134" si="83">E134*H134</f>
        <v>881500</v>
      </c>
      <c r="L134" s="116">
        <f t="shared" ref="L134" si="84">K134+J134</f>
        <v>3085250</v>
      </c>
      <c r="M134" s="114">
        <v>60000</v>
      </c>
      <c r="N134" s="124"/>
      <c r="O134" s="124"/>
      <c r="P134" s="124"/>
      <c r="Q134" s="166">
        <f t="shared" si="77"/>
        <v>235000</v>
      </c>
      <c r="R134" s="167">
        <f t="shared" si="78"/>
        <v>4143049.9999999995</v>
      </c>
      <c r="S134" s="221">
        <f t="shared" si="79"/>
        <v>2.9462926979736156E-3</v>
      </c>
    </row>
    <row r="135" spans="1:19">
      <c r="A135" s="87"/>
      <c r="B135" s="86"/>
      <c r="C135" s="61"/>
      <c r="D135" s="64"/>
      <c r="E135" s="159"/>
      <c r="F135" s="154"/>
      <c r="G135" s="134"/>
      <c r="H135" s="130"/>
      <c r="I135" s="119"/>
      <c r="J135" s="119"/>
      <c r="K135" s="119"/>
      <c r="L135" s="119">
        <f>SUM(L128:L134)</f>
        <v>107935956</v>
      </c>
      <c r="N135" s="96"/>
      <c r="O135" s="96"/>
      <c r="Q135" s="168" t="s">
        <v>178</v>
      </c>
      <c r="R135" s="169">
        <f>SUM(R128:R134)</f>
        <v>153268916</v>
      </c>
    </row>
    <row r="136" spans="1:19">
      <c r="A136" s="87"/>
      <c r="B136" s="86"/>
      <c r="C136" s="61"/>
      <c r="D136" s="64"/>
      <c r="E136" s="159"/>
      <c r="F136" s="154"/>
      <c r="G136" s="134"/>
      <c r="H136" s="130"/>
      <c r="I136" s="119"/>
      <c r="J136" s="119"/>
      <c r="K136" s="119"/>
      <c r="L136" s="119"/>
      <c r="N136" s="96"/>
      <c r="O136" s="96"/>
      <c r="Q136" s="168"/>
      <c r="R136" s="169"/>
    </row>
    <row r="137" spans="1:19">
      <c r="A137" s="177" t="s">
        <v>11</v>
      </c>
      <c r="B137" s="95" t="s">
        <v>192</v>
      </c>
      <c r="C137" s="175"/>
      <c r="D137" s="176"/>
      <c r="E137" s="159"/>
      <c r="F137" s="154"/>
      <c r="G137" s="134"/>
      <c r="H137" s="130"/>
      <c r="I137" s="119"/>
      <c r="J137" s="119"/>
      <c r="K137" s="119"/>
      <c r="L137" s="119"/>
      <c r="N137" s="96"/>
      <c r="O137" s="96"/>
      <c r="Q137" s="168"/>
      <c r="R137" s="169"/>
    </row>
    <row r="138" spans="1:19">
      <c r="A138" s="87"/>
      <c r="B138" s="86" t="s">
        <v>191</v>
      </c>
      <c r="C138" s="61"/>
      <c r="D138" s="64"/>
      <c r="E138" s="171" t="s">
        <v>198</v>
      </c>
      <c r="F138" s="154" t="s">
        <v>15</v>
      </c>
      <c r="G138" s="116">
        <v>40000</v>
      </c>
      <c r="H138" s="116">
        <v>28000</v>
      </c>
      <c r="I138" s="172">
        <f>H138+G138</f>
        <v>68000</v>
      </c>
      <c r="J138" s="172">
        <f>G138*E138</f>
        <v>5204800</v>
      </c>
      <c r="K138" s="172">
        <f>H138*E138</f>
        <v>3643360</v>
      </c>
      <c r="L138" s="172">
        <f>J138+K138</f>
        <v>8848160</v>
      </c>
      <c r="M138" s="114">
        <v>45000</v>
      </c>
      <c r="N138" s="124"/>
      <c r="O138" s="124"/>
      <c r="P138" s="124"/>
      <c r="Q138" s="166">
        <f>I138+M138</f>
        <v>113000</v>
      </c>
      <c r="R138" s="166">
        <f>Q138*E138</f>
        <v>14703560</v>
      </c>
      <c r="S138" s="221">
        <f t="shared" ref="S138:S139" si="85">R138/$R$3</f>
        <v>1.0456304283611577E-2</v>
      </c>
    </row>
    <row r="139" spans="1:19" ht="16" thickBot="1">
      <c r="A139" s="87"/>
      <c r="B139" s="86" t="s">
        <v>190</v>
      </c>
      <c r="C139" s="61"/>
      <c r="D139" s="64"/>
      <c r="E139" s="159">
        <v>12</v>
      </c>
      <c r="F139" s="154" t="s">
        <v>14</v>
      </c>
      <c r="G139" s="173">
        <v>800000</v>
      </c>
      <c r="H139" s="173">
        <v>150000</v>
      </c>
      <c r="I139" s="174">
        <f>G139+H139</f>
        <v>950000</v>
      </c>
      <c r="J139" s="174">
        <f>G139*E139</f>
        <v>9600000</v>
      </c>
      <c r="K139" s="174">
        <f>H139*E139</f>
        <v>1800000</v>
      </c>
      <c r="L139" s="174">
        <f>J139+K139</f>
        <v>11400000</v>
      </c>
      <c r="M139" s="114">
        <v>50000</v>
      </c>
      <c r="N139" s="124"/>
      <c r="O139" s="124"/>
      <c r="P139" s="124"/>
      <c r="Q139" s="166">
        <f>I139+M139</f>
        <v>1000000</v>
      </c>
      <c r="R139" s="166">
        <f>Q139*E139</f>
        <v>12000000</v>
      </c>
      <c r="S139" s="221">
        <f t="shared" si="85"/>
        <v>8.5336919360575886E-3</v>
      </c>
    </row>
    <row r="140" spans="1:19">
      <c r="A140" s="87"/>
      <c r="B140" s="86"/>
      <c r="C140" s="61"/>
      <c r="D140" s="64"/>
      <c r="E140" s="151"/>
      <c r="F140" s="140"/>
      <c r="G140" s="134"/>
      <c r="H140" s="130"/>
      <c r="I140" s="130"/>
      <c r="J140" s="130"/>
      <c r="K140" s="130"/>
      <c r="L140" s="119">
        <f>SUM(L138:L139)</f>
        <v>20248160</v>
      </c>
      <c r="Q140" s="165"/>
      <c r="R140" s="169">
        <f>SUM(R138:R139)</f>
        <v>26703560</v>
      </c>
    </row>
    <row r="141" spans="1:19">
      <c r="A141" s="88" t="s">
        <v>31</v>
      </c>
      <c r="B141" s="95" t="s">
        <v>44</v>
      </c>
      <c r="C141" s="160"/>
      <c r="D141" s="164"/>
      <c r="E141" s="151"/>
      <c r="F141" s="140"/>
      <c r="G141" s="127"/>
      <c r="H141" s="116"/>
      <c r="I141" s="116"/>
      <c r="J141" s="116"/>
      <c r="K141" s="116"/>
      <c r="L141" s="116"/>
      <c r="Q141" s="165"/>
      <c r="R141" s="165"/>
    </row>
    <row r="142" spans="1:19">
      <c r="A142" s="87">
        <v>1</v>
      </c>
      <c r="B142" s="86" t="s">
        <v>163</v>
      </c>
      <c r="C142" s="61"/>
      <c r="D142" s="64"/>
      <c r="E142" s="151">
        <v>5</v>
      </c>
      <c r="F142" s="140" t="s">
        <v>56</v>
      </c>
      <c r="G142" s="127">
        <v>2500000</v>
      </c>
      <c r="H142" s="116">
        <v>0</v>
      </c>
      <c r="I142" s="116">
        <f t="shared" ref="I142:I150" si="86">H142+G142</f>
        <v>2500000</v>
      </c>
      <c r="J142" s="116">
        <f t="shared" ref="J142:J144" si="87">E142*G142</f>
        <v>12500000</v>
      </c>
      <c r="K142" s="116">
        <f t="shared" ref="K142:K144" si="88">E142*H142</f>
        <v>0</v>
      </c>
      <c r="L142" s="116">
        <f t="shared" ref="L142:L144" si="89">K142+J142</f>
        <v>12500000</v>
      </c>
      <c r="M142" s="114">
        <v>750000</v>
      </c>
      <c r="N142" s="124"/>
      <c r="O142" s="124"/>
      <c r="P142" s="124"/>
      <c r="Q142" s="166">
        <f t="shared" ref="Q142:Q148" si="90">M142+I142</f>
        <v>3250000</v>
      </c>
      <c r="R142" s="167">
        <f t="shared" ref="R142:R148" si="91">Q142*E142</f>
        <v>16250000</v>
      </c>
      <c r="S142" s="221">
        <f t="shared" ref="S142:S148" si="92">R142/$R$3</f>
        <v>1.1556041163411319E-2</v>
      </c>
    </row>
    <row r="143" spans="1:19">
      <c r="A143" s="87">
        <f t="shared" ref="A143:A148" si="93">A142+1</f>
        <v>2</v>
      </c>
      <c r="B143" s="86" t="s">
        <v>164</v>
      </c>
      <c r="C143" s="61"/>
      <c r="D143" s="64"/>
      <c r="E143" s="151">
        <v>6</v>
      </c>
      <c r="F143" s="140" t="s">
        <v>56</v>
      </c>
      <c r="G143" s="127">
        <v>550000</v>
      </c>
      <c r="H143" s="116">
        <v>2700000</v>
      </c>
      <c r="I143" s="116">
        <f t="shared" si="86"/>
        <v>3250000</v>
      </c>
      <c r="J143" s="116">
        <f t="shared" si="87"/>
        <v>3300000</v>
      </c>
      <c r="K143" s="116">
        <f t="shared" si="88"/>
        <v>16200000</v>
      </c>
      <c r="L143" s="116">
        <f t="shared" si="89"/>
        <v>19500000</v>
      </c>
      <c r="M143" s="114">
        <v>975000</v>
      </c>
      <c r="N143" s="124"/>
      <c r="O143" s="124"/>
      <c r="P143" s="124"/>
      <c r="Q143" s="166">
        <f t="shared" si="90"/>
        <v>4225000</v>
      </c>
      <c r="R143" s="167">
        <f t="shared" si="91"/>
        <v>25350000</v>
      </c>
      <c r="S143" s="221">
        <f t="shared" si="92"/>
        <v>1.8027424214921657E-2</v>
      </c>
    </row>
    <row r="144" spans="1:19">
      <c r="A144" s="87">
        <v>3</v>
      </c>
      <c r="B144" s="86" t="s">
        <v>165</v>
      </c>
      <c r="C144" s="61"/>
      <c r="D144" s="64"/>
      <c r="E144" s="151">
        <v>1</v>
      </c>
      <c r="F144" s="140" t="s">
        <v>56</v>
      </c>
      <c r="G144" s="127"/>
      <c r="H144" s="116">
        <v>60000000</v>
      </c>
      <c r="I144" s="116">
        <f t="shared" si="86"/>
        <v>60000000</v>
      </c>
      <c r="J144" s="116">
        <f t="shared" si="87"/>
        <v>0</v>
      </c>
      <c r="K144" s="116">
        <f t="shared" si="88"/>
        <v>60000000</v>
      </c>
      <c r="L144" s="116">
        <f t="shared" si="89"/>
        <v>60000000</v>
      </c>
      <c r="M144" s="114">
        <v>10000000</v>
      </c>
      <c r="N144" s="124"/>
      <c r="O144" s="124"/>
      <c r="P144" s="124"/>
      <c r="Q144" s="166">
        <f t="shared" si="90"/>
        <v>70000000</v>
      </c>
      <c r="R144" s="167">
        <f t="shared" si="91"/>
        <v>70000000</v>
      </c>
      <c r="S144" s="221">
        <f t="shared" si="92"/>
        <v>4.97798696270026E-2</v>
      </c>
    </row>
    <row r="145" spans="1:19">
      <c r="A145" s="87">
        <v>4</v>
      </c>
      <c r="B145" s="86" t="s">
        <v>166</v>
      </c>
      <c r="C145" s="61"/>
      <c r="D145" s="64"/>
      <c r="E145" s="157">
        <v>1</v>
      </c>
      <c r="F145" s="158" t="s">
        <v>56</v>
      </c>
      <c r="G145" s="128"/>
      <c r="H145" s="117">
        <v>15000000</v>
      </c>
      <c r="I145" s="117">
        <f t="shared" ref="I145:I149" si="94">H145+G145</f>
        <v>15000000</v>
      </c>
      <c r="J145" s="116">
        <f t="shared" ref="J145:J150" si="95">E145*G145</f>
        <v>0</v>
      </c>
      <c r="K145" s="116">
        <f t="shared" ref="K145:K150" si="96">E145*H145</f>
        <v>15000000</v>
      </c>
      <c r="L145" s="116">
        <f t="shared" ref="L145:L150" si="97">K145+J145</f>
        <v>15000000</v>
      </c>
      <c r="M145" s="114"/>
      <c r="N145" s="124"/>
      <c r="O145" s="124"/>
      <c r="P145" s="124"/>
      <c r="Q145" s="166">
        <f t="shared" si="90"/>
        <v>15000000</v>
      </c>
      <c r="R145" s="167">
        <f t="shared" si="91"/>
        <v>15000000</v>
      </c>
      <c r="S145" s="221">
        <f t="shared" si="92"/>
        <v>1.0667114920071986E-2</v>
      </c>
    </row>
    <row r="146" spans="1:19">
      <c r="A146" s="87">
        <f t="shared" si="93"/>
        <v>5</v>
      </c>
      <c r="B146" s="86" t="s">
        <v>175</v>
      </c>
      <c r="C146" s="61"/>
      <c r="D146" s="64"/>
      <c r="E146" s="157">
        <v>31</v>
      </c>
      <c r="F146" s="158" t="s">
        <v>56</v>
      </c>
      <c r="G146" s="128">
        <v>50000</v>
      </c>
      <c r="H146" s="117">
        <v>10000</v>
      </c>
      <c r="I146" s="117">
        <f t="shared" si="94"/>
        <v>60000</v>
      </c>
      <c r="J146" s="116">
        <f t="shared" ref="J146:J148" si="98">E146*G146</f>
        <v>1550000</v>
      </c>
      <c r="K146" s="116">
        <f t="shared" ref="K146:K148" si="99">E146*H146</f>
        <v>310000</v>
      </c>
      <c r="L146" s="116">
        <f t="shared" ref="L146:L148" si="100">K146+J146</f>
        <v>1860000</v>
      </c>
      <c r="M146" s="114">
        <v>18000</v>
      </c>
      <c r="N146" s="124"/>
      <c r="O146" s="124"/>
      <c r="P146" s="124"/>
      <c r="Q146" s="166">
        <f t="shared" si="90"/>
        <v>78000</v>
      </c>
      <c r="R146" s="167">
        <f t="shared" si="91"/>
        <v>2418000</v>
      </c>
      <c r="S146" s="221">
        <f t="shared" si="92"/>
        <v>1.7195389251156042E-3</v>
      </c>
    </row>
    <row r="147" spans="1:19">
      <c r="A147" s="87">
        <f t="shared" si="93"/>
        <v>6</v>
      </c>
      <c r="B147" s="86" t="s">
        <v>176</v>
      </c>
      <c r="C147" s="61"/>
      <c r="D147" s="64"/>
      <c r="E147" s="157">
        <v>7</v>
      </c>
      <c r="F147" s="158" t="s">
        <v>56</v>
      </c>
      <c r="G147" s="128">
        <v>50000</v>
      </c>
      <c r="H147" s="117">
        <v>10000</v>
      </c>
      <c r="I147" s="117">
        <f t="shared" si="94"/>
        <v>60000</v>
      </c>
      <c r="J147" s="117">
        <f t="shared" si="98"/>
        <v>350000</v>
      </c>
      <c r="K147" s="117">
        <f t="shared" si="99"/>
        <v>70000</v>
      </c>
      <c r="L147" s="117">
        <f t="shared" si="100"/>
        <v>420000</v>
      </c>
      <c r="M147" s="114">
        <v>18000</v>
      </c>
      <c r="N147" s="124"/>
      <c r="O147" s="124"/>
      <c r="P147" s="124"/>
      <c r="Q147" s="166">
        <f t="shared" si="90"/>
        <v>78000</v>
      </c>
      <c r="R147" s="167">
        <f t="shared" si="91"/>
        <v>546000</v>
      </c>
      <c r="S147" s="221">
        <f t="shared" si="92"/>
        <v>3.882829830906203E-4</v>
      </c>
    </row>
    <row r="148" spans="1:19">
      <c r="A148" s="87">
        <f t="shared" si="93"/>
        <v>7</v>
      </c>
      <c r="B148" s="86" t="s">
        <v>177</v>
      </c>
      <c r="C148" s="61"/>
      <c r="D148" s="64"/>
      <c r="E148" s="157">
        <v>7</v>
      </c>
      <c r="F148" s="158" t="s">
        <v>56</v>
      </c>
      <c r="G148" s="128">
        <v>50000</v>
      </c>
      <c r="H148" s="117">
        <v>10000</v>
      </c>
      <c r="I148" s="117">
        <f t="shared" si="94"/>
        <v>60000</v>
      </c>
      <c r="J148" s="117">
        <f t="shared" si="98"/>
        <v>350000</v>
      </c>
      <c r="K148" s="117">
        <f t="shared" si="99"/>
        <v>70000</v>
      </c>
      <c r="L148" s="117">
        <f t="shared" si="100"/>
        <v>420000</v>
      </c>
      <c r="M148" s="114">
        <v>18000</v>
      </c>
      <c r="Q148" s="166">
        <f t="shared" si="90"/>
        <v>78000</v>
      </c>
      <c r="R148" s="167">
        <f t="shared" si="91"/>
        <v>546000</v>
      </c>
      <c r="S148" s="221">
        <f t="shared" si="92"/>
        <v>3.882829830906203E-4</v>
      </c>
    </row>
    <row r="149" spans="1:19">
      <c r="A149" s="87"/>
      <c r="B149" s="86"/>
      <c r="C149" s="61"/>
      <c r="D149" s="64"/>
      <c r="E149" s="157">
        <v>0</v>
      </c>
      <c r="F149" s="158"/>
      <c r="G149" s="128">
        <v>0</v>
      </c>
      <c r="H149" s="117">
        <v>0</v>
      </c>
      <c r="I149" s="117">
        <f t="shared" si="94"/>
        <v>0</v>
      </c>
      <c r="J149" s="117">
        <f t="shared" ref="J149" si="101">E149*G149</f>
        <v>0</v>
      </c>
      <c r="K149" s="117">
        <f t="shared" ref="K149" si="102">E149*H149</f>
        <v>0</v>
      </c>
      <c r="L149" s="117">
        <f t="shared" ref="L149" si="103">K149+J149</f>
        <v>0</v>
      </c>
      <c r="Q149" s="168" t="s">
        <v>178</v>
      </c>
      <c r="R149" s="169">
        <f>SUM(R142:R148)</f>
        <v>130110000</v>
      </c>
    </row>
    <row r="150" spans="1:19" ht="16" thickBot="1">
      <c r="A150" s="87"/>
      <c r="B150" s="86"/>
      <c r="C150" s="61"/>
      <c r="D150" s="64"/>
      <c r="E150" s="145">
        <v>0</v>
      </c>
      <c r="F150" s="146"/>
      <c r="G150" s="129">
        <v>0</v>
      </c>
      <c r="H150" s="118">
        <v>0</v>
      </c>
      <c r="I150" s="118">
        <f t="shared" si="86"/>
        <v>0</v>
      </c>
      <c r="J150" s="118">
        <f t="shared" si="95"/>
        <v>0</v>
      </c>
      <c r="K150" s="118">
        <f t="shared" si="96"/>
        <v>0</v>
      </c>
      <c r="L150" s="118">
        <f t="shared" si="97"/>
        <v>0</v>
      </c>
    </row>
    <row r="151" spans="1:19">
      <c r="A151" s="87"/>
      <c r="B151" s="86"/>
      <c r="C151" s="61"/>
      <c r="D151" s="64"/>
      <c r="E151" s="159"/>
      <c r="F151" s="154"/>
      <c r="G151" s="134"/>
      <c r="H151" s="130"/>
      <c r="I151" s="119"/>
      <c r="J151" s="119"/>
      <c r="K151" s="119"/>
      <c r="L151" s="119">
        <f>SUM(L142:L150)</f>
        <v>109700000</v>
      </c>
    </row>
    <row r="152" spans="1:19">
      <c r="A152" s="87"/>
      <c r="B152" s="86"/>
      <c r="C152" s="61"/>
      <c r="D152" s="64"/>
      <c r="E152" s="151"/>
      <c r="F152" s="140"/>
      <c r="G152" s="127"/>
      <c r="H152" s="116"/>
      <c r="I152" s="116"/>
      <c r="J152" s="116"/>
      <c r="K152" s="116"/>
      <c r="L152" s="116">
        <f>L19+L59+L84+L93+L108+L116+L124+L135+L140+L151</f>
        <v>1125181484.9942613</v>
      </c>
    </row>
    <row r="153" spans="1:19" s="68" customFormat="1">
      <c r="A153" s="57"/>
      <c r="B153" s="57"/>
      <c r="C153" s="57"/>
      <c r="D153" s="65"/>
      <c r="E153" s="66"/>
      <c r="F153" s="57"/>
      <c r="G153" s="67"/>
      <c r="H153" s="67"/>
      <c r="I153" s="67"/>
      <c r="J153" s="67"/>
      <c r="K153" s="67"/>
      <c r="L153" s="67"/>
      <c r="S153" s="223"/>
    </row>
    <row r="154" spans="1:19" s="70" customFormat="1">
      <c r="A154" s="57"/>
      <c r="B154" s="57"/>
      <c r="C154" s="57"/>
      <c r="D154" s="65"/>
      <c r="E154" s="66"/>
      <c r="F154" s="57"/>
      <c r="G154" s="67"/>
      <c r="H154" s="67"/>
      <c r="I154" s="67"/>
      <c r="J154" s="69"/>
      <c r="K154" s="69"/>
      <c r="L154" s="69"/>
      <c r="S154" s="224"/>
    </row>
    <row r="155" spans="1:19" s="71" customFormat="1">
      <c r="A155" s="57"/>
      <c r="B155" s="57"/>
      <c r="C155" s="57"/>
      <c r="D155" s="65"/>
      <c r="E155" s="66"/>
      <c r="F155" s="57"/>
      <c r="G155" s="67"/>
      <c r="H155" s="67"/>
      <c r="I155" s="67"/>
      <c r="J155" s="67"/>
      <c r="K155" s="67"/>
      <c r="L155" s="67"/>
      <c r="S155" s="222"/>
    </row>
    <row r="157" spans="1:19">
      <c r="L157" s="72"/>
    </row>
    <row r="158" spans="1:19" s="58" customFormat="1">
      <c r="A158" s="57"/>
      <c r="B158" s="57"/>
      <c r="C158" s="57"/>
      <c r="D158" s="65"/>
      <c r="E158" s="66"/>
      <c r="F158" s="57"/>
      <c r="G158" s="67"/>
      <c r="H158" s="67"/>
      <c r="I158" s="67"/>
      <c r="J158" s="67"/>
      <c r="K158" s="67"/>
      <c r="L158" s="67"/>
      <c r="S158" s="222"/>
    </row>
    <row r="179" spans="1:19" s="67" customFormat="1">
      <c r="A179" s="57"/>
      <c r="B179" s="57"/>
      <c r="C179" s="57"/>
      <c r="D179" s="65"/>
      <c r="E179" s="66"/>
      <c r="F179" s="57"/>
      <c r="S179" s="225"/>
    </row>
    <row r="180" spans="1:19" s="67" customFormat="1">
      <c r="A180" s="57"/>
      <c r="B180" s="57"/>
      <c r="C180" s="57"/>
      <c r="D180" s="65"/>
      <c r="E180" s="66"/>
      <c r="F180" s="57"/>
      <c r="S180" s="225"/>
    </row>
    <row r="181" spans="1:19" s="70" customFormat="1" ht="25.5" customHeight="1">
      <c r="A181" s="57"/>
      <c r="B181" s="57"/>
      <c r="C181" s="57"/>
      <c r="D181" s="65"/>
      <c r="E181" s="66"/>
      <c r="F181" s="57"/>
      <c r="G181" s="67"/>
      <c r="H181" s="67"/>
      <c r="I181" s="67"/>
      <c r="J181" s="67"/>
      <c r="K181" s="67"/>
      <c r="L181" s="67"/>
      <c r="S181" s="224"/>
    </row>
  </sheetData>
  <mergeCells count="10">
    <mergeCell ref="O6:O7"/>
    <mergeCell ref="P6:P7"/>
    <mergeCell ref="R6:R7"/>
    <mergeCell ref="E4:L4"/>
    <mergeCell ref="Q6:Q7"/>
    <mergeCell ref="A6:A7"/>
    <mergeCell ref="E6:F7"/>
    <mergeCell ref="B6:D7"/>
    <mergeCell ref="M6:M7"/>
    <mergeCell ref="N6:N7"/>
  </mergeCells>
  <phoneticPr fontId="45" type="noConversion"/>
  <printOptions horizontalCentered="1"/>
  <pageMargins left="1" right="0" top="1.5" bottom="0" header="0" footer="0"/>
  <pageSetup paperSize="9" scale="22" orientation="portrait" r:id="rId1"/>
  <headerFooter alignWithMargins="0">
    <oddFooter>Page &amp;P</oddFooter>
  </headerFooter>
  <rowBreaks count="1" manualBreakCount="1">
    <brk id="108" max="16383" man="1"/>
  </rowBreaks>
  <colBreaks count="1" manualBreakCount="1">
    <brk id="12" max="15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REKAP (Final Harga Kontrak)</vt:lpstr>
      <vt:lpstr>BOQ (Final Harga Kontrak)</vt:lpstr>
      <vt:lpstr>Schedule &amp; S-Cuve </vt:lpstr>
      <vt:lpstr>RAB</vt:lpstr>
      <vt:lpstr>VOLUME</vt:lpstr>
      <vt:lpstr>REKAP</vt:lpstr>
      <vt:lpstr>BOQ</vt:lpstr>
      <vt:lpstr>BOQ!Print_Area</vt:lpstr>
      <vt:lpstr>'BOQ (Final Harga Kontrak)'!Print_Area</vt:lpstr>
      <vt:lpstr>RAB!Print_Area</vt:lpstr>
      <vt:lpstr>REKAP!Print_Area</vt:lpstr>
      <vt:lpstr>'REKAP (Final Harga Kontrak)'!Print_Area</vt:lpstr>
      <vt:lpstr>'Schedule &amp; S-Cuve '!Print_Area</vt:lpstr>
      <vt:lpstr>'BOQ (Final Harga Kontrak)'!Print_Titles</vt:lpstr>
      <vt:lpstr>RAB!Print_Titles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karsa</dc:creator>
  <cp:lastModifiedBy>MARSHAL Hanry</cp:lastModifiedBy>
  <cp:lastPrinted>2024-07-01T07:33:43Z</cp:lastPrinted>
  <dcterms:created xsi:type="dcterms:W3CDTF">2004-03-16T05:45:12Z</dcterms:created>
  <dcterms:modified xsi:type="dcterms:W3CDTF">2024-07-02T08:11:59Z</dcterms:modified>
</cp:coreProperties>
</file>