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backupFile="1" codeName="ThisWorkbook"/>
  <mc:AlternateContent xmlns:mc="http://schemas.openxmlformats.org/markup-compatibility/2006">
    <mc:Choice Requires="x15">
      <x15ac:absPath xmlns:x15ac="http://schemas.microsoft.com/office/spreadsheetml/2010/11/ac" url="https://nhsengland.sharepoint.com/sites/MentalHealthImprovement/Shared Documents/Demand and Capacity SMT/"/>
    </mc:Choice>
  </mc:AlternateContent>
  <xr:revisionPtr revIDLastSave="0" documentId="8_{44AA6055-3FB3-4860-92F2-08479A684043}" xr6:coauthVersionLast="47" xr6:coauthVersionMax="47" xr10:uidLastSave="{00000000-0000-0000-0000-000000000000}"/>
  <workbookProtection workbookAlgorithmName="SHA-512" workbookHashValue="SHPnyOc69AlP3GrySmTBhiaJLtZd6Doyp9aUUb6WLgh0dw+n5qPcDzuuUFk7aA8nobnL013Ig5oREqo+dO/FZA==" workbookSaltValue="h51oMlKgamx8tXW2zvuYNg==" workbookSpinCount="100000" lockStructure="1"/>
  <bookViews>
    <workbookView xWindow="-120" yWindow="-16320" windowWidth="29040" windowHeight="15840" tabRatio="818" xr2:uid="{00000000-000D-0000-FFFF-FFFF00000000}"/>
  </bookViews>
  <sheets>
    <sheet name="Welcome" sheetId="4" r:id="rId1"/>
    <sheet name="Guidance" sheetId="17" r:id="rId2"/>
    <sheet name="Strategy and Governance" sheetId="35" r:id="rId3"/>
    <sheet name="Operational Processes" sheetId="52" r:id="rId4"/>
    <sheet name="Digital and Informatics" sheetId="50" r:id="rId5"/>
    <sheet name="Improvement Plan" sheetId="16" r:id="rId6"/>
    <sheet name="Feedback" sheetId="29" r:id="rId7"/>
    <sheet name="Changelog" sheetId="30" r:id="rId8"/>
    <sheet name="Lookups" sheetId="18" state="hidden" r:id="rId9"/>
    <sheet name="Principles (2)" sheetId="31" state="hidden" r:id="rId10"/>
  </sheets>
  <definedNames>
    <definedName name="BaselineDate">Guidance!$K$6</definedName>
    <definedName name="bigscore">Lookups!$F$2:$J$5</definedName>
    <definedName name="Data_Access">#REF!</definedName>
    <definedName name="Data_Attrition">#REF!</definedName>
    <definedName name="Data_BAMEReferrals">#REF!</definedName>
    <definedName name="Data_BAMETreatment">#REF!</definedName>
    <definedName name="Data_Caseness">#REF!</definedName>
    <definedName name="Data_Clearance">#REF!</definedName>
    <definedName name="Data_Completed">#REF!</definedName>
    <definedName name="Data_Completing18W">#REF!</definedName>
    <definedName name="Data_Completing6W">#REF!</definedName>
    <definedName name="Data_Deterioration">#REF!</definedName>
    <definedName name="Data_DNA">#REF!</definedName>
    <definedName name="Data_EndOnce">#REF!</definedName>
    <definedName name="Data_EndReasons">#REF!</definedName>
    <definedName name="Data_Improvement">#REF!</definedName>
    <definedName name="Data_InactiveReferrals">#REF!</definedName>
    <definedName name="Data_Index">#REF!</definedName>
    <definedName name="Data_MeanAppointments">#REF!</definedName>
    <definedName name="Data_MeanSessions">#REF!</definedName>
    <definedName name="Data_MedianSessions">#REF!</definedName>
    <definedName name="Data_MixedAD">#REF!</definedName>
    <definedName name="Data_NetReferrals">#REF!</definedName>
    <definedName name="Data_Over65Referrals">#REF!</definedName>
    <definedName name="Data_Over65Treatment">#REF!</definedName>
    <definedName name="Data_PairedScores">#REF!</definedName>
    <definedName name="Data_PDCompleteness">#REF!</definedName>
    <definedName name="Data_PDOutcomes">#REF!</definedName>
    <definedName name="Data_Recovery">#REF!</definedName>
    <definedName name="Data_RecoveryBAME">#REF!</definedName>
    <definedName name="Data_RecoveryOver65">#REF!</definedName>
    <definedName name="Data_ReferralPercentage">#REF!</definedName>
    <definedName name="Data_Referrals">#REF!</definedName>
    <definedName name="Data_SecondTreatment">#REF!</definedName>
    <definedName name="Data_SelfReferrals">#REF!</definedName>
    <definedName name="Data_Started18W">#REF!</definedName>
    <definedName name="Data_Started6W">#REF!</definedName>
    <definedName name="Data_TherapyType">#REF!</definedName>
    <definedName name="Data_Waiting6W">#REF!</definedName>
    <definedName name="DataRange">Lookups!$D$7:$O$57</definedName>
    <definedName name="Domain01">Lookups!$B$8</definedName>
    <definedName name="Domain02">Lookups!$B$9</definedName>
    <definedName name="Domain03">Lookups!$B$10</definedName>
    <definedName name="domainref">Lookups!$B$8:$C$10</definedName>
    <definedName name="Domains">Guidance!#REF!</definedName>
    <definedName name="KLOES">Lookups!$B$15</definedName>
    <definedName name="LatestReviewDate">Lookups!$L$6</definedName>
    <definedName name="level1">Lookups!$F$2</definedName>
    <definedName name="level2">Lookups!$F$3</definedName>
    <definedName name="level3">Lookups!$F$4</definedName>
    <definedName name="level4">Lookups!$F$5</definedName>
    <definedName name="_xlnm.Print_Area" localSheetId="7">Changelog!$A$2:$E$17</definedName>
    <definedName name="_xlnm.Print_Area" localSheetId="4">'Digital and Informatics'!$A$2:$K$42</definedName>
    <definedName name="_xlnm.Print_Area" localSheetId="6">Feedback!$A$2:$H$25</definedName>
    <definedName name="_xlnm.Print_Area" localSheetId="5">'Improvement Plan'!$A$2:$I$21</definedName>
    <definedName name="_xlnm.Print_Area" localSheetId="3">'Operational Processes'!$A$2:$K$22</definedName>
    <definedName name="_xlnm.Print_Area" localSheetId="9">'Principles (2)'!$A$2:$J$49</definedName>
    <definedName name="_xlnm.Print_Area" localSheetId="2">'Strategy and Governance'!$A$2:$K$37</definedName>
    <definedName name="_xlnm.Print_Area" localSheetId="0">Welcome!$A$2:$O$25</definedName>
    <definedName name="QN_ChronologicalBooking">#REF!</definedName>
    <definedName name="QN_SOPs">#REF!</definedName>
    <definedName name="ReviewDate1">Guidance!$D$8</definedName>
    <definedName name="ReviewDate2">Guidance!$G$8</definedName>
    <definedName name="ReviewDate3">Guidance!$K$8</definedName>
    <definedName name="scores">Lookups!$F$2:$F$5</definedName>
    <definedName name="System">Guidance!$B$6</definedName>
    <definedName name="ToolName">Welcome!$B$1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17" l="1"/>
  <c r="A8" i="4"/>
  <c r="A2" i="35"/>
  <c r="D29" i="35"/>
  <c r="A23" i="4" l="1"/>
  <c r="D35" i="35"/>
  <c r="D31" i="35"/>
  <c r="D24" i="35"/>
  <c r="D36" i="35"/>
  <c r="D26" i="35"/>
  <c r="D21" i="35"/>
  <c r="D11" i="35"/>
  <c r="D10" i="35"/>
  <c r="D19" i="35"/>
  <c r="D18" i="35"/>
  <c r="A2" i="52"/>
  <c r="B21" i="16"/>
  <c r="B20" i="16"/>
  <c r="C20" i="16"/>
  <c r="A3" i="52"/>
  <c r="A3" i="35"/>
  <c r="A2" i="50"/>
  <c r="D41" i="50"/>
  <c r="D40" i="50"/>
  <c r="D39" i="50"/>
  <c r="D38" i="50"/>
  <c r="D36" i="50"/>
  <c r="D35" i="50"/>
  <c r="D34" i="50"/>
  <c r="D33" i="50"/>
  <c r="D31" i="50"/>
  <c r="D30" i="50"/>
  <c r="D29" i="50"/>
  <c r="D28" i="50"/>
  <c r="C27" i="50"/>
  <c r="D26" i="50"/>
  <c r="D21" i="50"/>
  <c r="D25" i="50"/>
  <c r="D24" i="50"/>
  <c r="D23" i="50"/>
  <c r="D20" i="50"/>
  <c r="D19" i="50"/>
  <c r="D18" i="50"/>
  <c r="D16" i="50"/>
  <c r="D15" i="50"/>
  <c r="D14" i="50"/>
  <c r="D13" i="50"/>
  <c r="D11" i="50"/>
  <c r="D10" i="50"/>
  <c r="D9" i="50"/>
  <c r="D8" i="50"/>
  <c r="B13" i="52"/>
  <c r="D16" i="52"/>
  <c r="D15" i="52"/>
  <c r="D14" i="52"/>
  <c r="D13" i="52"/>
  <c r="D21" i="52"/>
  <c r="D20" i="52"/>
  <c r="D19" i="52"/>
  <c r="D18" i="52"/>
  <c r="D11" i="52"/>
  <c r="D10" i="52"/>
  <c r="D9" i="52"/>
  <c r="D8" i="52"/>
  <c r="D30" i="35"/>
  <c r="D33" i="35"/>
  <c r="D34" i="35"/>
  <c r="D25" i="35"/>
  <c r="D28" i="35"/>
  <c r="D23" i="35"/>
  <c r="D20" i="35"/>
  <c r="D16" i="35"/>
  <c r="D15" i="35"/>
  <c r="D14" i="35"/>
  <c r="D13" i="35"/>
  <c r="B8" i="50"/>
  <c r="B8" i="52"/>
  <c r="B24" i="29"/>
  <c r="B10" i="29"/>
  <c r="B11" i="29"/>
  <c r="B12" i="29"/>
  <c r="B13" i="29"/>
  <c r="B14" i="29"/>
  <c r="B15" i="29"/>
  <c r="B16" i="29"/>
  <c r="B17" i="29"/>
  <c r="B18" i="29"/>
  <c r="B19" i="29"/>
  <c r="B20" i="29"/>
  <c r="B21" i="29"/>
  <c r="B22" i="29"/>
  <c r="B23" i="29"/>
  <c r="B9" i="29"/>
  <c r="B18" i="52"/>
  <c r="X9" i="18"/>
  <c r="X10" i="18"/>
  <c r="X11" i="18"/>
  <c r="X12" i="18"/>
  <c r="X13" i="18"/>
  <c r="X14" i="18"/>
  <c r="X15" i="18"/>
  <c r="X16" i="18"/>
  <c r="X17" i="18"/>
  <c r="X18" i="18"/>
  <c r="X19" i="18"/>
  <c r="X20" i="18"/>
  <c r="X21" i="18"/>
  <c r="X22" i="18"/>
  <c r="X23" i="18"/>
  <c r="X8" i="18"/>
  <c r="D9" i="35"/>
  <c r="D8" i="35"/>
  <c r="B28" i="35"/>
  <c r="A3" i="50"/>
  <c r="B33" i="35"/>
  <c r="B23" i="35"/>
  <c r="B18" i="35"/>
  <c r="B13" i="35"/>
  <c r="B8" i="35"/>
  <c r="C37" i="50"/>
  <c r="C32" i="50"/>
  <c r="C12" i="52"/>
  <c r="D21" i="18"/>
  <c r="D20" i="18"/>
  <c r="D19" i="18"/>
  <c r="D18" i="18"/>
  <c r="D17" i="18"/>
  <c r="D14" i="18"/>
  <c r="Z8" i="18" l="1"/>
  <c r="AA8" i="18"/>
  <c r="Y8" i="18"/>
  <c r="A21" i="17" l="1"/>
  <c r="C7" i="35" l="1"/>
  <c r="V9" i="18" l="1"/>
  <c r="V10" i="18"/>
  <c r="V8" i="18"/>
  <c r="D23" i="18" l="1"/>
  <c r="C32" i="35" l="1"/>
  <c r="C10" i="18" l="1" a="1"/>
  <c r="C10" i="18" s="1"/>
  <c r="C9" i="18" a="1"/>
  <c r="C9" i="18" s="1"/>
  <c r="C8" i="18" a="1"/>
  <c r="C8" i="18" s="1"/>
  <c r="J23" i="18"/>
  <c r="K14" i="18"/>
  <c r="K8" i="18"/>
  <c r="C17" i="52" l="1"/>
  <c r="C7" i="52"/>
  <c r="J6" i="52"/>
  <c r="I6" i="52"/>
  <c r="H6" i="52"/>
  <c r="C22" i="50"/>
  <c r="C17" i="50"/>
  <c r="C12" i="50"/>
  <c r="C7" i="50"/>
  <c r="J6" i="50"/>
  <c r="I6" i="50"/>
  <c r="H6" i="50"/>
  <c r="C17" i="35"/>
  <c r="C22" i="35"/>
  <c r="C27" i="35"/>
  <c r="C12" i="35"/>
  <c r="J6" i="35"/>
  <c r="I6" i="35"/>
  <c r="H6" i="35"/>
  <c r="H9" i="18"/>
  <c r="J11" i="18"/>
  <c r="I22" i="18"/>
  <c r="J19" i="18"/>
  <c r="H19" i="18"/>
  <c r="J12" i="18"/>
  <c r="K12" i="18"/>
  <c r="H23" i="18"/>
  <c r="I19" i="18"/>
  <c r="J21" i="18"/>
  <c r="I16" i="18"/>
  <c r="K17" i="18"/>
  <c r="K11" i="18"/>
  <c r="K22" i="18"/>
  <c r="K19" i="18"/>
  <c r="K10" i="18"/>
  <c r="I20" i="18"/>
  <c r="H21" i="18"/>
  <c r="H17" i="18"/>
  <c r="K21" i="18"/>
  <c r="I17" i="18"/>
  <c r="J17" i="18"/>
  <c r="H18" i="18"/>
  <c r="H16" i="18"/>
  <c r="J8" i="18"/>
  <c r="H12" i="18"/>
  <c r="H15" i="18"/>
  <c r="H8" i="18"/>
  <c r="K13" i="18"/>
  <c r="K15" i="18"/>
  <c r="I15" i="18"/>
  <c r="K20" i="18"/>
  <c r="I13" i="18"/>
  <c r="I21" i="18"/>
  <c r="H20" i="18"/>
  <c r="I14" i="18"/>
  <c r="K23" i="18"/>
  <c r="I11" i="18"/>
  <c r="I18" i="18"/>
  <c r="H22" i="18"/>
  <c r="J15" i="18"/>
  <c r="P23" i="18"/>
  <c r="H11" i="18"/>
  <c r="I10" i="18"/>
  <c r="I23" i="18"/>
  <c r="H10" i="18"/>
  <c r="J13" i="18"/>
  <c r="K16" i="18"/>
  <c r="I12" i="18"/>
  <c r="J9" i="18"/>
  <c r="I9" i="18"/>
  <c r="J18" i="18"/>
  <c r="J20" i="18"/>
  <c r="J16" i="18"/>
  <c r="K9" i="18"/>
  <c r="H13" i="18"/>
  <c r="J10" i="18"/>
  <c r="K18" i="18"/>
  <c r="I8" i="18"/>
  <c r="J14" i="18"/>
  <c r="H14" i="18"/>
  <c r="J22" i="18"/>
  <c r="M20" i="18" l="1"/>
  <c r="C21" i="29" s="1"/>
  <c r="M19" i="18"/>
  <c r="C20" i="29" s="1"/>
  <c r="M14" i="18"/>
  <c r="C15" i="29" s="1"/>
  <c r="M21" i="18"/>
  <c r="C22" i="29" s="1"/>
  <c r="L23" i="18"/>
  <c r="N23" i="18" s="1"/>
  <c r="D24" i="29" s="1"/>
  <c r="M23" i="18"/>
  <c r="C24" i="29" s="1"/>
  <c r="M18" i="18"/>
  <c r="C19" i="29" s="1"/>
  <c r="M17" i="18"/>
  <c r="C18" i="29" s="1"/>
  <c r="D22" i="18"/>
  <c r="D16" i="18"/>
  <c r="D15" i="18"/>
  <c r="D11" i="18"/>
  <c r="D12" i="18"/>
  <c r="D13" i="18"/>
  <c r="P21" i="18"/>
  <c r="P20" i="18"/>
  <c r="P16" i="18"/>
  <c r="P19" i="18"/>
  <c r="P18" i="18"/>
  <c r="P14" i="18"/>
  <c r="P22" i="18"/>
  <c r="P11" i="18"/>
  <c r="P15" i="18"/>
  <c r="E20" i="16" l="1"/>
  <c r="M16" i="18"/>
  <c r="C17" i="29" s="1"/>
  <c r="M22" i="18"/>
  <c r="C23" i="29" s="1"/>
  <c r="M15" i="18"/>
  <c r="C16" i="29" s="1"/>
  <c r="M12" i="18"/>
  <c r="C13" i="29" s="1"/>
  <c r="M13" i="18"/>
  <c r="C14" i="29" s="1"/>
  <c r="M11" i="18"/>
  <c r="C12" i="29" s="1"/>
  <c r="B5" i="29"/>
  <c r="P17" i="18"/>
  <c r="P12" i="18"/>
  <c r="P13" i="18"/>
  <c r="E10" i="16" l="1"/>
  <c r="E9" i="16"/>
  <c r="E21" i="16"/>
  <c r="E17" i="16"/>
  <c r="E13" i="16"/>
  <c r="E12" i="16"/>
  <c r="E19" i="16"/>
  <c r="E18" i="16"/>
  <c r="E16" i="16"/>
  <c r="E11" i="16"/>
  <c r="E15" i="16"/>
  <c r="E14" i="16"/>
  <c r="L22" i="18" l="1"/>
  <c r="L20" i="18"/>
  <c r="L19" i="18"/>
  <c r="L18" i="18"/>
  <c r="L16" i="18"/>
  <c r="L15" i="18"/>
  <c r="L14" i="18"/>
  <c r="L12" i="18"/>
  <c r="L11" i="18"/>
  <c r="L21" i="18"/>
  <c r="L17" i="18"/>
  <c r="L13" i="18"/>
  <c r="D9" i="18"/>
  <c r="D10" i="18"/>
  <c r="D8" i="18"/>
  <c r="C43" i="31"/>
  <c r="C36" i="31"/>
  <c r="C31" i="31"/>
  <c r="C26" i="31"/>
  <c r="C21" i="31"/>
  <c r="C15" i="31"/>
  <c r="C8" i="31"/>
  <c r="I7" i="31"/>
  <c r="H7" i="31"/>
  <c r="G7" i="31"/>
  <c r="A3" i="31"/>
  <c r="A2" i="31"/>
  <c r="M9" i="18" l="1"/>
  <c r="C10" i="29" s="1"/>
  <c r="M10" i="18"/>
  <c r="C11" i="29" s="1"/>
  <c r="M8" i="18"/>
  <c r="C9" i="29" s="1"/>
  <c r="R10" i="18"/>
  <c r="T10" i="18" s="1"/>
  <c r="R9" i="18"/>
  <c r="T9" i="18" s="1"/>
  <c r="S9" i="18"/>
  <c r="U9" i="18" s="1"/>
  <c r="N11" i="18"/>
  <c r="N13" i="18"/>
  <c r="N17" i="18"/>
  <c r="N19" i="18"/>
  <c r="N15" i="18"/>
  <c r="N20" i="18"/>
  <c r="N12" i="18"/>
  <c r="N18" i="18"/>
  <c r="N14" i="18"/>
  <c r="N21" i="18"/>
  <c r="N16" i="18"/>
  <c r="N22" i="18"/>
  <c r="D20" i="16" s="1"/>
  <c r="A3" i="30"/>
  <c r="A2" i="30"/>
  <c r="P8" i="18"/>
  <c r="P10" i="18"/>
  <c r="P9" i="18"/>
  <c r="D16" i="16" l="1"/>
  <c r="D19" i="29"/>
  <c r="D19" i="16"/>
  <c r="D22" i="29"/>
  <c r="D18" i="16"/>
  <c r="D21" i="29"/>
  <c r="D10" i="16"/>
  <c r="D13" i="29"/>
  <c r="D17" i="16"/>
  <c r="D20" i="29"/>
  <c r="D11" i="16"/>
  <c r="D14" i="29"/>
  <c r="D21" i="16"/>
  <c r="D23" i="29"/>
  <c r="D15" i="16"/>
  <c r="D18" i="29"/>
  <c r="D9" i="16"/>
  <c r="D12" i="29"/>
  <c r="D14" i="16"/>
  <c r="D17" i="29"/>
  <c r="D12" i="16"/>
  <c r="D15" i="29"/>
  <c r="D13" i="16"/>
  <c r="D16" i="29"/>
  <c r="E6" i="16"/>
  <c r="S10" i="18"/>
  <c r="U10" i="18" s="1"/>
  <c r="R8" i="18"/>
  <c r="T8" i="18" s="1"/>
  <c r="E7" i="16"/>
  <c r="E8" i="16"/>
  <c r="L9" i="18"/>
  <c r="C8" i="29"/>
  <c r="N9" i="18" l="1"/>
  <c r="L10" i="18"/>
  <c r="D7" i="16" l="1"/>
  <c r="D10" i="29"/>
  <c r="N10" i="18"/>
  <c r="A3" i="29"/>
  <c r="A3" i="16"/>
  <c r="L6" i="18"/>
  <c r="D8" i="16" l="1"/>
  <c r="D11" i="29"/>
  <c r="D8" i="29"/>
  <c r="A2" i="29" l="1"/>
  <c r="C16" i="17" l="1"/>
  <c r="C17" i="17"/>
  <c r="C18" i="17"/>
  <c r="C19" i="17"/>
  <c r="C15" i="17"/>
  <c r="B15" i="17"/>
  <c r="B16" i="17"/>
  <c r="B17" i="17"/>
  <c r="B18" i="17"/>
  <c r="B19" i="17"/>
  <c r="A19" i="17"/>
  <c r="A16" i="17"/>
  <c r="A17" i="17"/>
  <c r="A18" i="17"/>
  <c r="A15" i="17"/>
  <c r="A27" i="17" l="1"/>
  <c r="A26" i="17"/>
  <c r="C25" i="29" l="1"/>
  <c r="L8" i="18"/>
  <c r="N8" i="18" s="1"/>
  <c r="D9" i="29" s="1"/>
  <c r="S8" i="18" l="1"/>
  <c r="U8" i="18" s="1"/>
  <c r="D25" i="29"/>
  <c r="D6" i="16"/>
  <c r="A2" i="16" l="1"/>
  <c r="B7" i="16"/>
  <c r="C7" i="16" s="1"/>
  <c r="B8" i="16"/>
  <c r="C8" i="16" s="1"/>
  <c r="B9" i="16"/>
  <c r="C9" i="16" s="1"/>
  <c r="B10" i="16"/>
  <c r="C10" i="16" s="1"/>
  <c r="B11" i="16"/>
  <c r="C11" i="16" s="1"/>
  <c r="B12" i="16"/>
  <c r="C12" i="16" s="1"/>
  <c r="B13" i="16"/>
  <c r="C13" i="16" s="1"/>
  <c r="B14" i="16"/>
  <c r="C14" i="16" s="1"/>
  <c r="B15" i="16"/>
  <c r="C15" i="16" s="1"/>
  <c r="B16" i="16"/>
  <c r="C16" i="16" s="1"/>
  <c r="B17" i="16"/>
  <c r="C17" i="16" s="1"/>
  <c r="B18" i="16"/>
  <c r="C18" i="16" s="1"/>
  <c r="B19" i="16"/>
  <c r="C19" i="16" s="1"/>
  <c r="C21" i="16"/>
  <c r="B6" i="16"/>
  <c r="C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<sst xmlns="http://schemas.openxmlformats.org/spreadsheetml/2006/main" count="253" uniqueCount="152">
  <si>
    <t>Session</t>
  </si>
  <si>
    <t>step up/down</t>
  </si>
  <si>
    <t>Course/Group</t>
  </si>
  <si>
    <t>Client</t>
  </si>
  <si>
    <t>Purpose</t>
  </si>
  <si>
    <t>Scope</t>
  </si>
  <si>
    <t>Requirements</t>
  </si>
  <si>
    <t>Assumptions</t>
  </si>
  <si>
    <t>Limitations</t>
  </si>
  <si>
    <t>The NHS England and NHS Improvement CYP MH System Maturity Tool</t>
  </si>
  <si>
    <t xml:space="preserve">Your System </t>
  </si>
  <si>
    <t>Baseline Review Date</t>
  </si>
  <si>
    <t>Re-Review Date 1</t>
  </si>
  <si>
    <t>Re-Review Date 2</t>
  </si>
  <si>
    <t>Re-Review Date 3</t>
  </si>
  <si>
    <t>Instructions for Completion</t>
  </si>
  <si>
    <t>For a full explanation of the tool and instructions for completion, please see</t>
  </si>
  <si>
    <t>need hyperlink to video?</t>
  </si>
  <si>
    <t>Enter the date of your initial baseline review, and any subsequent re-reviews, above</t>
  </si>
  <si>
    <r>
      <t xml:space="preserve">As a system, score the </t>
    </r>
    <r>
      <rPr>
        <b/>
        <sz val="11"/>
        <color rgb="FF000000"/>
        <rFont val="Arial"/>
        <family val="2"/>
      </rPr>
      <t>elements</t>
    </r>
    <r>
      <rPr>
        <sz val="11"/>
        <color indexed="8"/>
        <rFont val="Arial"/>
        <family val="2"/>
      </rPr>
      <t xml:space="preserve"> in each of the SIT Good Practice Domains (below) between 0 and 4  based on the following scale:</t>
    </r>
  </si>
  <si>
    <t>Element</t>
  </si>
  <si>
    <t>Initial Score</t>
  </si>
  <si>
    <t>Notes/Evidence</t>
  </si>
  <si>
    <t>Rough Improvement Ideas</t>
  </si>
  <si>
    <t>Rescoring</t>
  </si>
  <si>
    <t>Score</t>
  </si>
  <si>
    <t>Good</t>
  </si>
  <si>
    <t>Excellent</t>
  </si>
  <si>
    <t>Fair</t>
  </si>
  <si>
    <t>Nothing</t>
  </si>
  <si>
    <t>Scenarios</t>
  </si>
  <si>
    <t>#</t>
  </si>
  <si>
    <t>Current Score</t>
  </si>
  <si>
    <t>Action(s)</t>
  </si>
  <si>
    <t>Owner/Lead</t>
  </si>
  <si>
    <t>Due Date</t>
  </si>
  <si>
    <t>Good Practice Domain</t>
  </si>
  <si>
    <t>Total</t>
  </si>
  <si>
    <t>Version history</t>
  </si>
  <si>
    <t>Version</t>
  </si>
  <si>
    <t>Date</t>
  </si>
  <si>
    <t>Details</t>
  </si>
  <si>
    <t>First version</t>
  </si>
  <si>
    <t>No evidence</t>
  </si>
  <si>
    <t>Limited evidence of implementation or impact; document available</t>
  </si>
  <si>
    <t>Significant evidence of implementation; limited impact</t>
  </si>
  <si>
    <t>Full implementation; clear evidence of demonstrable impact</t>
  </si>
  <si>
    <t>Domain</t>
  </si>
  <si>
    <t>Number</t>
  </si>
  <si>
    <t>Text</t>
  </si>
  <si>
    <t>Score1</t>
  </si>
  <si>
    <t>Score2</t>
  </si>
  <si>
    <t>Score3</t>
  </si>
  <si>
    <t>Score4</t>
  </si>
  <si>
    <t>Current</t>
  </si>
  <si>
    <t>Baseline Text</t>
  </si>
  <si>
    <t>Current Text</t>
  </si>
  <si>
    <t>Max</t>
  </si>
  <si>
    <t>Baseline</t>
  </si>
  <si>
    <t>Review</t>
  </si>
  <si>
    <t>Strategy and Governance</t>
  </si>
  <si>
    <t xml:space="preserve">Demand and capacity modelling is sustainably embedded in routine planning and management activity at all levels. </t>
  </si>
  <si>
    <t>Routine planning</t>
  </si>
  <si>
    <t>Operational Processes</t>
  </si>
  <si>
    <t>Accountabilities for modelling activity and outputs are clear across all levels</t>
  </si>
  <si>
    <t xml:space="preserve">Clear accountabilities </t>
  </si>
  <si>
    <t>Data and Informatics</t>
  </si>
  <si>
    <t xml:space="preserve">Governance systems assure the delivery of a consistent and coherent use of modelling across the system. </t>
  </si>
  <si>
    <t>Governance oversight</t>
  </si>
  <si>
    <t>Modelling is deployed at scale across the system</t>
  </si>
  <si>
    <t xml:space="preserve">Deployed at scale </t>
  </si>
  <si>
    <t xml:space="preserve">Modelling outputs are subject to robust operation oversight, analysis and validation.  </t>
  </si>
  <si>
    <t>Operational oversight</t>
  </si>
  <si>
    <t>Modelling is used to drive business planning at scale across the system</t>
  </si>
  <si>
    <t>Business planning</t>
  </si>
  <si>
    <t xml:space="preserve">Pathway mapping is fully embedded in system planning, and driving quality improvements </t>
  </si>
  <si>
    <t>Pathway mapping</t>
  </si>
  <si>
    <t>Demand data quality is routinely validated, and assured to be of the highest possible quality</t>
  </si>
  <si>
    <t>Demand validation</t>
  </si>
  <si>
    <t>Capacity data quality is routinely validated, and assured to be of the highest possible quality</t>
  </si>
  <si>
    <t>Capacity validation</t>
  </si>
  <si>
    <t xml:space="preserve">Demand data is routinely available, and enables forecasting of possible future states </t>
  </si>
  <si>
    <t>Demand forecasting</t>
  </si>
  <si>
    <t xml:space="preserve">Planned and actual capacity data is routinely reported from electronic patient records to enable operational management and workforce planning. </t>
  </si>
  <si>
    <t>EPR data availability</t>
  </si>
  <si>
    <t xml:space="preserve">Digital systems are sufficiently mature to provide the full range of data required for demand and capacity planning in real time. </t>
  </si>
  <si>
    <t>Digital maturity</t>
  </si>
  <si>
    <t xml:space="preserve">Data quality is routinely assured through automated flagging of items requiring manual validation  </t>
  </si>
  <si>
    <t>Flagging DQ issues</t>
  </si>
  <si>
    <t>All data required by operational managers are available through digital dashboards, and supported by highlight reporting nd notifications</t>
  </si>
  <si>
    <t>Digital dashboards</t>
  </si>
  <si>
    <t xml:space="preserve">Interpretation of all routine reporting is supported by automated exception and anomoly reporting. </t>
  </si>
  <si>
    <t>Automed exception reports</t>
  </si>
  <si>
    <t>There is sufficient capacity and capability within business intelligence functions to sustainably deliver the business as usual and transfromational objectives of the system</t>
  </si>
  <si>
    <t>BI capacity</t>
  </si>
  <si>
    <t>KLOEs</t>
  </si>
  <si>
    <t>Is the vision compelling and coherent, including actions to promote access and improve outcomes?</t>
  </si>
  <si>
    <t>Is it published, including a child and young person friendly version?</t>
  </si>
  <si>
    <t>Is the LTP representative of the activity in the area?</t>
  </si>
  <si>
    <t>Is CYP-MH an identified priority of the STP programme?</t>
  </si>
  <si>
    <t>To what extent are the local wellbeing strategies and LTPs aligned in regards to vision?</t>
  </si>
  <si>
    <t>Does the strategy include consideration for how an increasing digital offer will be developed?</t>
  </si>
  <si>
    <t>Are clearly defined terms of reference and standing agendas agreed and ratified for the CYP-MH system governance arrangements up to STP?</t>
  </si>
  <si>
    <t>Does the governance structure enable escalation and management of key risks up to and including STP?</t>
  </si>
  <si>
    <t>Are there clear governance structures in place to connect all providers in the STP and CCGs so delivery is clear and understood by all?</t>
  </si>
  <si>
    <t>Is there a consistent system wide monitoring process understood by all providers?</t>
  </si>
  <si>
    <t>Are 3rd sector partners given an equal voice within the CYP-MH System?</t>
  </si>
  <si>
    <t>Is the STP wide delivery vehicle,  a strategic meeting including CCGs and all system providers which has subgroups to operationally address issues arising in the shared transformation?</t>
  </si>
  <si>
    <t>Do the subgroups have  clear operational system wide grip on the development of flow across needs led pathways, shared data systems and sustainable workforce?</t>
  </si>
  <si>
    <t>Is there CYP-MH system awareness and monitoring of Access &amp; Outcomes performance alongside locally agreed quality metrics?</t>
  </si>
  <si>
    <t>Are CYP and parents / carers present and part of the system wide transformation?</t>
  </si>
  <si>
    <t>Are the executive leads fully engaged with the system changes and vision for CYP-MH?</t>
  </si>
  <si>
    <t>Do executive leads have visibility of the performance management cycle?</t>
  </si>
  <si>
    <t>Where relevant is the executive director engaged in recovery plans when a performance target is not achieved, this would include Access, Outcomes or locally agreed KPI's such as waiting times?</t>
  </si>
  <si>
    <t>Does the executive director or nominated deputy signs off external returns?</t>
  </si>
  <si>
    <t>Are the clinical leads within the system given time together to review system wide challenges and implement change?</t>
  </si>
  <si>
    <t>Do they have dedicated leadership time focused on changing mind sets and working as a collective system?</t>
  </si>
  <si>
    <t>Are they able to influence relevant strategic boards?</t>
  </si>
  <si>
    <t>Do clinical and management leads work together to improve pathways?</t>
  </si>
  <si>
    <t>Are there any differences between nationally declared spend (MH dashboard) and locally declared spend for the relevant year(s)?</t>
  </si>
  <si>
    <t>Does the CCG and service actively benchmark its position in its investment comparing this to the service outcomes achieved (e.g. cost per prevalence of the CCG with other similar/peer CCGs and viewed against access rates and numbers)?.</t>
  </si>
  <si>
    <t>How is the NHS Benchmarking data used to inform local discussions (e.g. cost  per contact, bank and agency spend as % pay costs)?</t>
  </si>
  <si>
    <t>Is the ratio of direct staff costs to indirect plus corporate overheads is line with good practice (80:20?</t>
  </si>
  <si>
    <t>Has the workforce and activity grown proportionally with investment?</t>
  </si>
  <si>
    <t>Separate from FiM investment, a  year on year increase in CCG recurrent funding can be demonstrated in the last 5yrs ?</t>
  </si>
  <si>
    <t>Are any of the posts joint funded?</t>
  </si>
  <si>
    <t>Is there a coherent funding approach?</t>
  </si>
  <si>
    <t>Are section 75 agreements in place / pooled funding?</t>
  </si>
  <si>
    <t>In the absence of pooled budgets is there a clear understanding of the system wide position?</t>
  </si>
  <si>
    <t>Are organisations transformation plans around spend aligned to the LTP for the CYP-MH system?</t>
  </si>
  <si>
    <t xml:space="preserve">test improvement idea </t>
  </si>
  <si>
    <t>these pull through to the action plan</t>
  </si>
  <si>
    <t>england.demandandcapacityproject@nhs.net</t>
  </si>
  <si>
    <r>
      <t>The tool has been developed to cover all aspects of demand and capacity modelling, therefore the completion needs to be viewed as a partnership and collaborative activity between all of those involved with the demand and capacity modelling process within a provider organisation and commissioners. The process ideally should also involve those that use the services.</t>
    </r>
    <r>
      <rPr>
        <sz val="11"/>
        <color rgb="FFFF0000"/>
        <rFont val="Arial"/>
        <family val="2"/>
      </rPr>
      <t xml:space="preserve"> </t>
    </r>
  </si>
  <si>
    <t>Modelling is fully embedded as part of routine business as usual with clear and effective communication to colleagues and stakeholders, clearly defined ownership so that everyone involved will understand their role and the expectations, with clear timelines and accountability. 
There will be continuity plans to ensure knowledge retained and developed supported by a governance framework owned and reviewed by senior leadership.</t>
  </si>
  <si>
    <t>Pathway mapping is used to gain a better understanding of how a pathway works. 
Changes to a pathway are made with clear understanding of the current pathway so that thereare no unintended consequences or problems in another part of the pathway.
Rotas are managed and workforce planning is in place supporting staff that are delivering services.
There will be a clear view of available capacity to idenify if there is a mismatch between demand and capacity but also identify any variation and have informed discussions about managing resources.</t>
  </si>
  <si>
    <t xml:space="preserve">Data is collected electronically and used for forecasting and planning, trends identified and insight provided to service leads/managers for action. This can support automation of modelling and reporting as part of routine analysis.
If data can be assured as high quality and representative of the service, team or pathway being modelled then this supports automation, but also the robustness of the outputs of the modelling exercise and assurance of the outputs without separate validation exercises needed.
Pro-active investigative advanced forecasting and simulation, linking with operational, clinical and senior management to trial, evaluate and implement effective modelling solutions that can be used to support operational decision making. </t>
  </si>
  <si>
    <t>Your System / Organisation Name</t>
  </si>
  <si>
    <r>
      <t xml:space="preserve">Welcome - NHS England Demand and Capacity Planning Roadmap and Maturity Tool
</t>
    </r>
    <r>
      <rPr>
        <b/>
        <sz val="8"/>
        <color rgb="FF005EB8"/>
        <rFont val="Verdana"/>
        <family val="2"/>
      </rPr>
      <t>Last Updated: 11/05/2023</t>
    </r>
  </si>
  <si>
    <t>Updated version</t>
  </si>
  <si>
    <t>Amendments to wording and format</t>
  </si>
  <si>
    <t>Guidance - NHSE England Demand and Capacity Planning Roadmap and Maturity Tool</t>
  </si>
  <si>
    <t>It is designed to provide information on where improvement activity should be targeted to ensure current approach is meeting best practice in the use of demand and capacity planning to delivery of high quality services.</t>
  </si>
  <si>
    <t>The process should be inclusive and all stakeholders should be represented at a sufficiently senior level to ‘make things happen’.</t>
  </si>
  <si>
    <t xml:space="preserve">Completion of the NHS England Demand and Capacity System Maturity Tool requires a joint approach from all relevant persons involved with demand and capacity planning within a provider organisation or system. </t>
  </si>
  <si>
    <t>It is acknowledged that the domains, elements and scenarios are not fully comprehensive, as demand and capacity planning requirements are continuously developing as the requirements of service delivery and service user experience evolve.</t>
  </si>
  <si>
    <t>The NHS England and NHS Improvement Demand and Capacity System Maturity Tool assumes that the organisation or system is able to cascade the domains to appropriate organisation/system-wide meetings to discuss and to score. If these structures do not exist, it would be beneficial to establish and maintain these to support the assessment of current processes and with implementing improvement when needed.</t>
  </si>
  <si>
    <t>To support strategic thinking and the development of collaboration on improvement, it is suggested that the process is led and coordinated by an executive lead, this may be a system lead (within the ICS/ICB). This will maximise the improvement, development and collaboration opportunity.</t>
  </si>
  <si>
    <t>If you need advice on the completion of this tool or wish to give feedback please contact:</t>
  </si>
  <si>
    <t xml:space="preserve">The NHS England Demand and and Capacity Planning Roadmap and Maturity Tool has been created for Integrated Care Boards (ICBs), providers and other system partners to support continuous improvement in developing the capacity, capabilities and utilisation of demand and capacity planning. </t>
  </si>
  <si>
    <t>NHSE England Demand and Capacity Planning Roadmap and Maturity Tool</t>
  </si>
  <si>
    <t>What Good Looks Like - The Good Practice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</si>
</sst>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yy;@"/>
    <numFmt numFmtId="165" formatCode="dd/mm/yy;@"/>
    <numFmt numFmtId="166" formatCode="0.0"/>
    <numFmt numFmtId="167" formatCode="#,##0.0#"/>
  </numFmts>
  <fonts count="6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font>
    <font>
      <sz val="11"/>
      <color indexed="8"/>
      <name val="Calibri"/>
      <family val="2"/>
    </font>
    <font>
      <sz val="10"/>
      <name val="Arial"/>
      <family val="2"/>
    </font>
    <font>
      <u/>
      <sz val="10"/>
      <color indexed="12"/>
      <name val="Arial"/>
      <family val="2"/>
    </font>
    <font>
      <sz val="11"/>
      <color indexed="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indexed="2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color indexed="8"/>
      <name val="Arial"/>
      <family val="2"/>
    </font>
    <font>
      <sz val="10"/>
      <color theme="1"/>
      <name val="Arial"/>
      <family val="2"/>
      <scheme val="minor"/>
    </font>
    <font>
      <sz val="11"/>
      <name val="Arial"/>
      <family val="2"/>
      <scheme val="minor"/>
    </font>
    <font>
      <b/>
      <sz val="10"/>
      <color indexed="9"/>
      <name val="Verdana"/>
      <family val="2"/>
    </font>
    <font>
      <b/>
      <sz val="10"/>
      <color theme="0"/>
      <name val="Verdana"/>
      <family val="2"/>
    </font>
    <font>
      <b/>
      <sz val="10"/>
      <color rgb="FF005EB8"/>
      <name val="Verdana"/>
      <family val="2"/>
    </font>
    <font>
      <b/>
      <sz val="11"/>
      <color rgb="FF005EB8"/>
      <name val="Verdana"/>
      <family val="2"/>
    </font>
    <font>
      <sz val="8"/>
      <name val="Arial"/>
      <family val="2"/>
      <scheme val="minor"/>
    </font>
    <font>
      <sz val="11"/>
      <color theme="1"/>
      <name val="Arial"/>
      <family val="2"/>
    </font>
    <font>
      <u/>
      <sz val="11"/>
      <color theme="10"/>
      <name val="Arial"/>
      <family val="2"/>
      <scheme val="minor"/>
    </font>
    <font>
      <sz val="11"/>
      <color indexed="8"/>
      <name val="Arial"/>
      <family val="2"/>
    </font>
    <font>
      <b/>
      <sz val="11"/>
      <color indexed="8"/>
      <name val="Arial"/>
      <family val="2"/>
    </font>
    <font>
      <b/>
      <sz val="11"/>
      <color theme="0"/>
      <name val="Verdana"/>
      <family val="2"/>
    </font>
    <font>
      <sz val="11"/>
      <color theme="0"/>
      <name val="Arial"/>
      <family val="2"/>
    </font>
    <font>
      <sz val="12"/>
      <color theme="1"/>
      <name val="Arial"/>
      <family val="2"/>
      <scheme val="minor"/>
    </font>
    <font>
      <sz val="12"/>
      <color indexed="8"/>
      <name val="Arial"/>
      <family val="2"/>
    </font>
    <font>
      <sz val="12"/>
      <color theme="0"/>
      <name val="Arial"/>
      <family val="2"/>
      <scheme val="minor"/>
    </font>
    <font>
      <sz val="12"/>
      <name val="Arial"/>
      <family val="2"/>
      <scheme val="minor"/>
    </font>
    <font>
      <sz val="11"/>
      <name val="Arial"/>
      <family val="2"/>
    </font>
    <font>
      <u/>
      <sz val="11"/>
      <color rgb="FFFF0000"/>
      <name val="Arial"/>
      <family val="2"/>
      <scheme val="minor"/>
    </font>
    <font>
      <b/>
      <sz val="8"/>
      <color rgb="FF005EB8"/>
      <name val="Verdana"/>
      <family val="2"/>
    </font>
    <font>
      <b/>
      <sz val="11"/>
      <color rgb="FF000000"/>
      <name val="Arial"/>
      <family val="2"/>
    </font>
    <font>
      <sz val="11"/>
      <color rgb="FFFF0000"/>
      <name val="Arial"/>
      <family val="2"/>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7"/>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rgb="FF005EB8"/>
        <bgColor indexed="64"/>
      </patternFill>
    </fill>
    <fill>
      <patternFill patternType="solid">
        <fgColor rgb="FFE8EDEE"/>
        <bgColor indexed="64"/>
      </patternFill>
    </fill>
    <fill>
      <patternFill patternType="solid">
        <fgColor theme="4"/>
        <bgColor indexed="64"/>
      </patternFill>
    </fill>
    <fill>
      <patternFill patternType="solid">
        <fgColor rgb="FFFF0000"/>
        <bgColor indexed="64"/>
      </patternFill>
    </fill>
    <fill>
      <patternFill patternType="solid">
        <fgColor rgb="FF00B050"/>
        <bgColor indexed="64"/>
      </patternFill>
    </fill>
  </fills>
  <borders count="7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style="thin">
        <color indexed="30"/>
      </right>
      <top/>
      <bottom/>
      <diagonal/>
    </border>
    <border>
      <left style="thin">
        <color indexed="30"/>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rgb="FF005EB8"/>
      </left>
      <right style="thin">
        <color rgb="FF005EB8"/>
      </right>
      <top style="medium">
        <color rgb="FF005EB8"/>
      </top>
      <bottom/>
      <diagonal/>
    </border>
    <border>
      <left style="medium">
        <color rgb="FF005EB8"/>
      </left>
      <right style="thin">
        <color rgb="FF005EB8"/>
      </right>
      <top/>
      <bottom style="medium">
        <color rgb="FF005EB8"/>
      </bottom>
      <diagonal/>
    </border>
    <border>
      <left style="thin">
        <color rgb="FF005EB8"/>
      </left>
      <right style="thin">
        <color rgb="FF005EB8"/>
      </right>
      <top/>
      <bottom style="medium">
        <color rgb="FF005EB8"/>
      </bottom>
      <diagonal/>
    </border>
    <border>
      <left style="thin">
        <color rgb="FF005EB8"/>
      </left>
      <right style="medium">
        <color rgb="FF005EB8"/>
      </right>
      <top/>
      <bottom style="medium">
        <color rgb="FF005EB8"/>
      </bottom>
      <diagonal/>
    </border>
    <border>
      <left style="medium">
        <color rgb="FF005EB8"/>
      </left>
      <right style="thin">
        <color rgb="FF005EB8"/>
      </right>
      <top style="medium">
        <color rgb="FF005EB8"/>
      </top>
      <bottom/>
      <diagonal/>
    </border>
    <border>
      <left style="thin">
        <color rgb="FF005EB8"/>
      </left>
      <right style="medium">
        <color rgb="FF005EB8"/>
      </right>
      <top style="medium">
        <color rgb="FF005EB8"/>
      </top>
      <bottom/>
      <diagonal/>
    </border>
    <border>
      <left style="thin">
        <color rgb="FF005EB8"/>
      </left>
      <right style="thin">
        <color rgb="FF005EB8"/>
      </right>
      <top style="thin">
        <color rgb="FF005EB8"/>
      </top>
      <bottom style="thin">
        <color rgb="FF005EB8"/>
      </bottom>
      <diagonal/>
    </border>
    <border>
      <left style="thin">
        <color rgb="FF005EB8"/>
      </left>
      <right/>
      <top/>
      <bottom/>
      <diagonal/>
    </border>
    <border>
      <left/>
      <right style="medium">
        <color rgb="FF005EB8"/>
      </right>
      <top/>
      <bottom/>
      <diagonal/>
    </border>
    <border>
      <left style="medium">
        <color rgb="FF005EB8"/>
      </left>
      <right style="thin">
        <color rgb="FF005EB8"/>
      </right>
      <top style="thin">
        <color rgb="FF005EB8"/>
      </top>
      <bottom style="thin">
        <color rgb="FF005EB8"/>
      </bottom>
      <diagonal/>
    </border>
    <border>
      <left style="thin">
        <color rgb="FF005EB8"/>
      </left>
      <right style="medium">
        <color rgb="FF005EB8"/>
      </right>
      <top style="thin">
        <color rgb="FF005EB8"/>
      </top>
      <bottom style="thin">
        <color rgb="FF005EB8"/>
      </bottom>
      <diagonal/>
    </border>
    <border>
      <left/>
      <right style="thin">
        <color rgb="FF005EB8"/>
      </right>
      <top/>
      <bottom style="medium">
        <color rgb="FF005EB8"/>
      </bottom>
      <diagonal/>
    </border>
    <border>
      <left style="thin">
        <color rgb="FF005EB8"/>
      </left>
      <right/>
      <top style="thin">
        <color rgb="FF005EB8"/>
      </top>
      <bottom/>
      <diagonal/>
    </border>
    <border>
      <left/>
      <right/>
      <top style="thin">
        <color rgb="FF005EB8"/>
      </top>
      <bottom/>
      <diagonal/>
    </border>
    <border>
      <left/>
      <right style="thin">
        <color rgb="FF005EB8"/>
      </right>
      <top style="thin">
        <color rgb="FF005EB8"/>
      </top>
      <bottom/>
      <diagonal/>
    </border>
    <border>
      <left/>
      <right style="thin">
        <color rgb="FF005EB8"/>
      </right>
      <top/>
      <bottom/>
      <diagonal/>
    </border>
    <border>
      <left style="thin">
        <color rgb="FF005EB8"/>
      </left>
      <right/>
      <top/>
      <bottom style="thin">
        <color rgb="FF005EB8"/>
      </bottom>
      <diagonal/>
    </border>
    <border>
      <left/>
      <right/>
      <top/>
      <bottom style="thin">
        <color rgb="FF005EB8"/>
      </bottom>
      <diagonal/>
    </border>
    <border>
      <left/>
      <right style="thin">
        <color rgb="FF005EB8"/>
      </right>
      <top/>
      <bottom style="thin">
        <color rgb="FF005EB8"/>
      </bottom>
      <diagonal/>
    </border>
    <border>
      <left style="medium">
        <color rgb="FF005EB8"/>
      </left>
      <right/>
      <top/>
      <bottom/>
      <diagonal/>
    </border>
    <border>
      <left style="medium">
        <color rgb="FF005EB8"/>
      </left>
      <right/>
      <top style="thin">
        <color rgb="FF005EB8"/>
      </top>
      <bottom/>
      <diagonal/>
    </border>
    <border>
      <left style="medium">
        <color rgb="FF005EB8"/>
      </left>
      <right/>
      <top/>
      <bottom style="thin">
        <color rgb="FF005EB8"/>
      </bottom>
      <diagonal/>
    </border>
    <border>
      <left style="medium">
        <color rgb="FF005EB8"/>
      </left>
      <right/>
      <top/>
      <bottom style="medium">
        <color rgb="FF005EB8"/>
      </bottom>
      <diagonal/>
    </border>
    <border>
      <left/>
      <right style="medium">
        <color rgb="FF005EB8"/>
      </right>
      <top style="thin">
        <color rgb="FF005EB8"/>
      </top>
      <bottom/>
      <diagonal/>
    </border>
    <border>
      <left/>
      <right style="medium">
        <color rgb="FF005EB8"/>
      </right>
      <top/>
      <bottom style="thin">
        <color rgb="FF005EB8"/>
      </bottom>
      <diagonal/>
    </border>
    <border>
      <left style="thin">
        <color rgb="FF005EB8"/>
      </left>
      <right/>
      <top/>
      <bottom style="medium">
        <color rgb="FF005EB8"/>
      </bottom>
      <diagonal/>
    </border>
    <border>
      <left/>
      <right/>
      <top/>
      <bottom style="medium">
        <color rgb="FF005EB8"/>
      </bottom>
      <diagonal/>
    </border>
    <border>
      <left/>
      <right style="medium">
        <color rgb="FF005EB8"/>
      </right>
      <top/>
      <bottom style="medium">
        <color rgb="FF005EB8"/>
      </bottom>
      <diagonal/>
    </border>
    <border>
      <left style="thin">
        <color rgb="FF005EB8"/>
      </left>
      <right style="thin">
        <color rgb="FF005EB8"/>
      </right>
      <top/>
      <bottom style="dotted">
        <color rgb="FF005EB8"/>
      </bottom>
      <diagonal/>
    </border>
    <border>
      <left style="medium">
        <color rgb="FF005EB8"/>
      </left>
      <right/>
      <top style="medium">
        <color rgb="FF005EB8"/>
      </top>
      <bottom/>
      <diagonal/>
    </border>
    <border>
      <left/>
      <right/>
      <top style="medium">
        <color rgb="FF005EB8"/>
      </top>
      <bottom/>
      <diagonal/>
    </border>
    <border>
      <left/>
      <right style="medium">
        <color rgb="FF005EB8"/>
      </right>
      <top style="medium">
        <color rgb="FF005EB8"/>
      </top>
      <bottom/>
      <diagonal/>
    </border>
    <border>
      <left style="medium">
        <color rgb="FF005EB8"/>
      </left>
      <right style="thin">
        <color rgb="FF005EB8"/>
      </right>
      <top/>
      <bottom style="dotted">
        <color rgb="FF005EB8"/>
      </bottom>
      <diagonal/>
    </border>
    <border>
      <left style="thin">
        <color rgb="FF005EB8"/>
      </left>
      <right style="medium">
        <color rgb="FF005EB8"/>
      </right>
      <top/>
      <bottom style="dotted">
        <color rgb="FF005EB8"/>
      </bottom>
      <diagonal/>
    </border>
    <border>
      <left style="medium">
        <color rgb="FF005EB8"/>
      </left>
      <right style="thin">
        <color rgb="FF005EB8"/>
      </right>
      <top style="dotted">
        <color rgb="FF005EB8"/>
      </top>
      <bottom style="dotted">
        <color rgb="FF005EB8"/>
      </bottom>
      <diagonal/>
    </border>
    <border>
      <left style="thin">
        <color rgb="FF005EB8"/>
      </left>
      <right style="medium">
        <color rgb="FF005EB8"/>
      </right>
      <top style="dotted">
        <color rgb="FF005EB8"/>
      </top>
      <bottom style="dotted">
        <color rgb="FF005EB8"/>
      </bottom>
      <diagonal/>
    </border>
    <border>
      <left style="medium">
        <color rgb="FF005EB8"/>
      </left>
      <right style="thin">
        <color rgb="FF005EB8"/>
      </right>
      <top style="dotted">
        <color rgb="FF005EB8"/>
      </top>
      <bottom style="medium">
        <color rgb="FF005EB8"/>
      </bottom>
      <diagonal/>
    </border>
    <border>
      <left style="thin">
        <color rgb="FF005EB8"/>
      </left>
      <right style="medium">
        <color rgb="FF005EB8"/>
      </right>
      <top style="dotted">
        <color rgb="FF005EB8"/>
      </top>
      <bottom style="medium">
        <color rgb="FF005EB8"/>
      </bottom>
      <diagonal/>
    </border>
    <border>
      <left style="thin">
        <color rgb="FF005EB8"/>
      </left>
      <right/>
      <top style="thin">
        <color theme="4"/>
      </top>
      <bottom/>
      <diagonal/>
    </border>
    <border>
      <left/>
      <right style="thin">
        <color rgb="FF005EB8"/>
      </right>
      <top style="thin">
        <color theme="4"/>
      </top>
      <bottom/>
      <diagonal/>
    </border>
    <border>
      <left/>
      <right style="thin">
        <color theme="3"/>
      </right>
      <top/>
      <bottom/>
      <diagonal/>
    </border>
    <border>
      <left style="thin">
        <color rgb="FF005EB8"/>
      </left>
      <right style="thin">
        <color rgb="FF005EB8"/>
      </right>
      <top style="dotted">
        <color rgb="FF005EB8"/>
      </top>
      <bottom style="medium">
        <color rgb="FF005EB8"/>
      </bottom>
      <diagonal/>
    </border>
  </borders>
  <cellStyleXfs count="13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33" borderId="0" applyNumberFormat="0" applyBorder="0" applyAlignment="0" applyProtection="0"/>
    <xf numFmtId="0" fontId="19" fillId="35"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34"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22" fillId="46" borderId="0" applyNumberFormat="0" applyBorder="0" applyAlignment="0" applyProtection="0"/>
    <xf numFmtId="0" fontId="22" fillId="42" borderId="0" applyNumberFormat="0" applyBorder="0" applyAlignment="0" applyProtection="0"/>
    <xf numFmtId="0" fontId="22" fillId="44" borderId="0" applyNumberFormat="0" applyBorder="0" applyAlignment="0" applyProtection="0"/>
    <xf numFmtId="0" fontId="22" fillId="48" borderId="0" applyNumberFormat="0" applyBorder="0" applyAlignment="0" applyProtection="0"/>
    <xf numFmtId="0" fontId="22" fillId="49"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2" borderId="0" applyNumberFormat="0" applyBorder="0" applyAlignment="0" applyProtection="0"/>
    <xf numFmtId="0" fontId="22" fillId="47" borderId="0" applyNumberFormat="0" applyBorder="0" applyAlignment="0" applyProtection="0"/>
    <xf numFmtId="0" fontId="22" fillId="48" borderId="0" applyNumberFormat="0" applyBorder="0" applyAlignment="0" applyProtection="0"/>
    <xf numFmtId="0" fontId="22" fillId="49" borderId="0" applyNumberFormat="0" applyBorder="0" applyAlignment="0" applyProtection="0"/>
    <xf numFmtId="0" fontId="22" fillId="53" borderId="0" applyNumberFormat="0" applyBorder="0" applyAlignment="0" applyProtection="0"/>
    <xf numFmtId="0" fontId="33" fillId="35" borderId="0" applyNumberFormat="0" applyBorder="0" applyAlignment="0" applyProtection="0"/>
    <xf numFmtId="0" fontId="23" fillId="40" borderId="10" applyNumberFormat="0" applyAlignment="0" applyProtection="0"/>
    <xf numFmtId="0" fontId="24" fillId="54" borderId="11" applyNumberFormat="0" applyAlignment="0" applyProtection="0"/>
    <xf numFmtId="0" fontId="25" fillId="0" borderId="0" applyNumberFormat="0" applyFill="0" applyBorder="0" applyAlignment="0" applyProtection="0"/>
    <xf numFmtId="0" fontId="26" fillId="37" borderId="0" applyNumberFormat="0" applyBorder="0" applyAlignment="0" applyProtection="0"/>
    <xf numFmtId="0" fontId="34" fillId="0" borderId="12" applyNumberFormat="0" applyFill="0" applyAlignment="0" applyProtection="0"/>
    <xf numFmtId="0" fontId="35" fillId="0" borderId="13" applyNumberFormat="0" applyFill="0" applyAlignment="0" applyProtection="0"/>
    <xf numFmtId="0" fontId="36" fillId="0" borderId="14" applyNumberFormat="0" applyFill="0" applyAlignment="0" applyProtection="0"/>
    <xf numFmtId="0" fontId="36" fillId="0" borderId="0" applyNumberFormat="0" applyFill="0" applyBorder="0" applyAlignment="0" applyProtection="0"/>
    <xf numFmtId="0" fontId="21" fillId="0" borderId="0" applyNumberFormat="0" applyFill="0" applyBorder="0" applyAlignment="0" applyProtection="0">
      <alignment vertical="top"/>
      <protection locked="0"/>
    </xf>
    <xf numFmtId="0" fontId="27" fillId="34" borderId="10" applyNumberFormat="0" applyAlignment="0" applyProtection="0"/>
    <xf numFmtId="0" fontId="28" fillId="0" borderId="15" applyNumberFormat="0" applyFill="0" applyAlignment="0" applyProtection="0"/>
    <xf numFmtId="0" fontId="29" fillId="43" borderId="0" applyNumberFormat="0" applyBorder="0" applyAlignment="0" applyProtection="0"/>
    <xf numFmtId="0" fontId="20" fillId="0" borderId="0"/>
    <xf numFmtId="0" fontId="18" fillId="0" borderId="0"/>
    <xf numFmtId="0" fontId="19" fillId="8" borderId="8" applyNumberFormat="0" applyFont="0" applyAlignment="0" applyProtection="0"/>
    <xf numFmtId="0" fontId="20" fillId="36" borderId="16" applyNumberFormat="0" applyFont="0" applyAlignment="0" applyProtection="0"/>
    <xf numFmtId="0" fontId="19" fillId="8" borderId="8" applyNumberFormat="0" applyFont="0" applyAlignment="0" applyProtection="0"/>
    <xf numFmtId="0" fontId="30" fillId="40" borderId="17" applyNumberFormat="0" applyAlignment="0" applyProtection="0"/>
    <xf numFmtId="0" fontId="37" fillId="0" borderId="0" applyNumberFormat="0" applyFill="0" applyBorder="0" applyAlignment="0" applyProtection="0"/>
    <xf numFmtId="0" fontId="31" fillId="0" borderId="18" applyNumberFormat="0" applyFill="0" applyAlignment="0" applyProtection="0"/>
    <xf numFmtId="0" fontId="32" fillId="0" borderId="0" applyNumberFormat="0" applyFill="0" applyBorder="0" applyAlignment="0" applyProtection="0"/>
    <xf numFmtId="0" fontId="18" fillId="0" borderId="0"/>
    <xf numFmtId="0" fontId="20" fillId="0" borderId="0"/>
    <xf numFmtId="0" fontId="18" fillId="0" borderId="0"/>
    <xf numFmtId="0" fontId="18" fillId="0" borderId="0"/>
    <xf numFmtId="0" fontId="2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39" fillId="0" borderId="0"/>
    <xf numFmtId="0" fontId="1" fillId="0" borderId="0"/>
    <xf numFmtId="0" fontId="1" fillId="0" borderId="0"/>
    <xf numFmtId="0" fontId="10" fillId="6" borderId="5" applyNumberFormat="0" applyAlignment="0" applyProtection="0"/>
    <xf numFmtId="0" fontId="16" fillId="0" borderId="9" applyNumberFormat="0" applyFill="0" applyAlignment="0" applyProtection="0"/>
    <xf numFmtId="0" fontId="14" fillId="0" borderId="0" applyNumberFormat="0" applyFill="0" applyBorder="0" applyAlignment="0" applyProtection="0"/>
    <xf numFmtId="0" fontId="47" fillId="0" borderId="0" applyNumberFormat="0" applyFill="0" applyBorder="0" applyAlignment="0" applyProtection="0"/>
  </cellStyleXfs>
  <cellXfs count="233">
    <xf numFmtId="0" fontId="0" fillId="0" borderId="0" xfId="0"/>
    <xf numFmtId="0" fontId="0" fillId="0" borderId="0" xfId="0" applyProtection="1">
      <protection hidden="1"/>
    </xf>
    <xf numFmtId="0" fontId="17" fillId="0" borderId="0" xfId="0" applyFont="1" applyProtection="1">
      <protection hidden="1"/>
    </xf>
    <xf numFmtId="0" fontId="40" fillId="0" borderId="0" xfId="0" applyFont="1" applyProtection="1">
      <protection hidden="1"/>
    </xf>
    <xf numFmtId="0" fontId="0" fillId="0" borderId="0" xfId="0" applyAlignment="1" applyProtection="1">
      <alignment horizontal="center"/>
      <protection hidden="1"/>
    </xf>
    <xf numFmtId="0" fontId="0" fillId="0" borderId="0" xfId="0" applyAlignment="1" applyProtection="1">
      <alignment vertical="top"/>
      <protection hidden="1"/>
    </xf>
    <xf numFmtId="0" fontId="17" fillId="0" borderId="23" xfId="0" applyFont="1" applyBorder="1" applyProtection="1">
      <protection hidden="1"/>
    </xf>
    <xf numFmtId="3" fontId="17" fillId="0" borderId="0" xfId="0" applyNumberFormat="1" applyFont="1" applyProtection="1">
      <protection hidden="1"/>
    </xf>
    <xf numFmtId="0" fontId="0" fillId="0" borderId="22" xfId="0" applyBorder="1" applyProtection="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164" fontId="18" fillId="0" borderId="31" xfId="0" applyNumberFormat="1" applyFont="1" applyBorder="1" applyAlignment="1" applyProtection="1">
      <alignment horizontal="center" vertical="top"/>
      <protection hidden="1"/>
    </xf>
    <xf numFmtId="164" fontId="18" fillId="0" borderId="32" xfId="0" applyNumberFormat="1" applyFont="1" applyBorder="1" applyAlignment="1" applyProtection="1">
      <alignment horizontal="center" vertical="top"/>
      <protection hidden="1"/>
    </xf>
    <xf numFmtId="0" fontId="17" fillId="0" borderId="0" xfId="0" applyFont="1" applyAlignment="1" applyProtection="1">
      <alignment vertical="center"/>
      <protection hidden="1"/>
    </xf>
    <xf numFmtId="3" fontId="17" fillId="0" borderId="0" xfId="0" applyNumberFormat="1" applyFont="1" applyAlignment="1" applyProtection="1">
      <alignment vertical="center"/>
      <protection hidden="1"/>
    </xf>
    <xf numFmtId="0" fontId="40" fillId="0" borderId="0" xfId="0" applyFont="1" applyAlignment="1" applyProtection="1">
      <alignment vertical="center"/>
      <protection hidden="1"/>
    </xf>
    <xf numFmtId="0" fontId="0" fillId="0" borderId="35" xfId="0" applyBorder="1" applyAlignment="1" applyProtection="1">
      <alignment vertical="top" wrapText="1"/>
      <protection locked="0" hidden="1"/>
    </xf>
    <xf numFmtId="0" fontId="0" fillId="0" borderId="39" xfId="0" applyBorder="1" applyAlignment="1" applyProtection="1">
      <alignment vertical="top" wrapText="1"/>
      <protection locked="0" hidden="1"/>
    </xf>
    <xf numFmtId="0" fontId="0" fillId="0" borderId="36" xfId="0" applyBorder="1" applyProtection="1">
      <protection hidden="1"/>
    </xf>
    <xf numFmtId="0" fontId="17" fillId="0" borderId="44" xfId="0" applyFont="1" applyBorder="1" applyProtection="1">
      <protection hidden="1"/>
    </xf>
    <xf numFmtId="0" fontId="0" fillId="0" borderId="45" xfId="0" applyBorder="1" applyProtection="1">
      <protection hidden="1"/>
    </xf>
    <xf numFmtId="0" fontId="0" fillId="0" borderId="46" xfId="0" applyBorder="1" applyAlignment="1" applyProtection="1">
      <alignment horizontal="center"/>
      <protection hidden="1"/>
    </xf>
    <xf numFmtId="0" fontId="0" fillId="0" borderId="46" xfId="0" applyBorder="1" applyProtection="1">
      <protection hidden="1"/>
    </xf>
    <xf numFmtId="0" fontId="17" fillId="0" borderId="46" xfId="0" applyFont="1" applyBorder="1" applyProtection="1">
      <protection hidden="1"/>
    </xf>
    <xf numFmtId="0" fontId="17" fillId="0" borderId="47" xfId="0" applyFont="1" applyBorder="1" applyProtection="1">
      <protection hidden="1"/>
    </xf>
    <xf numFmtId="0" fontId="43" fillId="55" borderId="0" xfId="0" applyFont="1" applyFill="1" applyAlignment="1" applyProtection="1">
      <alignment horizontal="center"/>
      <protection hidden="1"/>
    </xf>
    <xf numFmtId="0" fontId="42" fillId="55" borderId="0" xfId="0" applyFont="1" applyFill="1" applyAlignment="1" applyProtection="1">
      <alignment vertical="center"/>
      <protection hidden="1"/>
    </xf>
    <xf numFmtId="0" fontId="42" fillId="55" borderId="0" xfId="0" applyFont="1" applyFill="1" applyAlignment="1" applyProtection="1">
      <alignment horizontal="center" vertical="center" wrapText="1"/>
      <protection hidden="1"/>
    </xf>
    <xf numFmtId="0" fontId="0" fillId="0" borderId="0" xfId="0" applyAlignment="1" applyProtection="1">
      <alignment horizontal="center" vertical="top"/>
      <protection hidden="1"/>
    </xf>
    <xf numFmtId="166" fontId="0" fillId="0" borderId="38" xfId="0" applyNumberFormat="1" applyBorder="1" applyAlignment="1" applyProtection="1">
      <alignment horizontal="center" vertical="top"/>
      <protection hidden="1"/>
    </xf>
    <xf numFmtId="0" fontId="0" fillId="56" borderId="49" xfId="0" applyFill="1" applyBorder="1" applyAlignment="1" applyProtection="1">
      <alignment vertical="center" textRotation="90"/>
      <protection hidden="1"/>
    </xf>
    <xf numFmtId="0" fontId="0" fillId="56" borderId="48" xfId="0" applyFill="1" applyBorder="1" applyAlignment="1" applyProtection="1">
      <alignment vertical="center" textRotation="90"/>
      <protection hidden="1"/>
    </xf>
    <xf numFmtId="0" fontId="0" fillId="56" borderId="50" xfId="0" applyFill="1" applyBorder="1" applyAlignment="1" applyProtection="1">
      <alignment vertical="center" textRotation="90"/>
      <protection hidden="1"/>
    </xf>
    <xf numFmtId="0" fontId="0" fillId="56" borderId="51" xfId="0" applyFill="1" applyBorder="1" applyAlignment="1" applyProtection="1">
      <alignment vertical="center" textRotation="90"/>
      <protection hidden="1"/>
    </xf>
    <xf numFmtId="166" fontId="16" fillId="0" borderId="38" xfId="0" applyNumberFormat="1" applyFont="1" applyBorder="1" applyAlignment="1" applyProtection="1">
      <alignment horizontal="center" vertical="top"/>
      <protection hidden="1"/>
    </xf>
    <xf numFmtId="0" fontId="49" fillId="0" borderId="0" xfId="0" applyFont="1" applyProtection="1">
      <protection hidden="1"/>
    </xf>
    <xf numFmtId="0" fontId="48" fillId="0" borderId="0" xfId="0" applyFont="1" applyProtection="1">
      <protection hidden="1"/>
    </xf>
    <xf numFmtId="0" fontId="50" fillId="0" borderId="0" xfId="0" applyFont="1" applyAlignment="1" applyProtection="1">
      <alignment horizontal="center" vertical="center" wrapText="1"/>
      <protection hidden="1"/>
    </xf>
    <xf numFmtId="0" fontId="51" fillId="0" borderId="0" xfId="0" applyFont="1" applyProtection="1">
      <protection hidden="1"/>
    </xf>
    <xf numFmtId="165" fontId="48" fillId="0" borderId="35" xfId="0" applyNumberFormat="1" applyFont="1" applyBorder="1" applyAlignment="1" applyProtection="1">
      <alignment vertical="center" wrapText="1"/>
      <protection locked="0" hidden="1"/>
    </xf>
    <xf numFmtId="165" fontId="48" fillId="0" borderId="35" xfId="0" applyNumberFormat="1" applyFont="1" applyBorder="1" applyAlignment="1" applyProtection="1">
      <alignment horizontal="center" vertical="center" wrapText="1"/>
      <protection locked="0" hidden="1"/>
    </xf>
    <xf numFmtId="0" fontId="0" fillId="0" borderId="36" xfId="0" applyBorder="1" applyAlignment="1" applyProtection="1">
      <alignment vertical="top"/>
      <protection hidden="1"/>
    </xf>
    <xf numFmtId="0" fontId="0" fillId="0" borderId="44" xfId="0" applyBorder="1" applyAlignment="1" applyProtection="1">
      <alignment vertical="top"/>
      <protection hidden="1"/>
    </xf>
    <xf numFmtId="0" fontId="46" fillId="0" borderId="36" xfId="0" applyFont="1" applyBorder="1" applyAlignment="1" applyProtection="1">
      <alignment vertical="top"/>
      <protection hidden="1"/>
    </xf>
    <xf numFmtId="0" fontId="0" fillId="0" borderId="45" xfId="0" applyBorder="1" applyAlignment="1" applyProtection="1">
      <alignment vertical="top"/>
      <protection hidden="1"/>
    </xf>
    <xf numFmtId="0" fontId="0" fillId="0" borderId="46" xfId="0" applyBorder="1" applyAlignment="1" applyProtection="1">
      <alignment vertical="top"/>
      <protection hidden="1"/>
    </xf>
    <xf numFmtId="0" fontId="0" fillId="0" borderId="47" xfId="0" applyBorder="1" applyAlignment="1" applyProtection="1">
      <alignment vertical="top"/>
      <protection hidden="1"/>
    </xf>
    <xf numFmtId="165" fontId="48" fillId="0" borderId="0" xfId="0" applyNumberFormat="1" applyFont="1" applyAlignment="1" applyProtection="1">
      <alignment horizontal="center" vertical="center" wrapText="1"/>
      <protection hidden="1"/>
    </xf>
    <xf numFmtId="0" fontId="0" fillId="0" borderId="57" xfId="0" applyBorder="1" applyAlignment="1" applyProtection="1">
      <alignment horizontal="center"/>
      <protection hidden="1"/>
    </xf>
    <xf numFmtId="164" fontId="42" fillId="55" borderId="59" xfId="0" applyNumberFormat="1" applyFont="1" applyFill="1" applyBorder="1" applyAlignment="1" applyProtection="1">
      <alignment horizontal="center" vertical="center"/>
      <protection hidden="1"/>
    </xf>
    <xf numFmtId="14" fontId="0" fillId="0" borderId="0" xfId="0" applyNumberFormat="1"/>
    <xf numFmtId="164" fontId="42" fillId="55" borderId="60" xfId="0" applyNumberFormat="1" applyFont="1" applyFill="1" applyBorder="1" applyAlignment="1" applyProtection="1">
      <alignment horizontal="center" vertical="center"/>
      <protection hidden="1"/>
    </xf>
    <xf numFmtId="0" fontId="42" fillId="55" borderId="58" xfId="0" applyFont="1" applyFill="1" applyBorder="1" applyAlignment="1" applyProtection="1">
      <alignment horizontal="left" vertical="center" indent="1"/>
      <protection hidden="1"/>
    </xf>
    <xf numFmtId="0" fontId="54" fillId="0" borderId="0" xfId="0" applyFont="1" applyProtection="1">
      <protection hidden="1"/>
    </xf>
    <xf numFmtId="3" fontId="54" fillId="0" borderId="0" xfId="0" applyNumberFormat="1" applyFont="1" applyProtection="1">
      <protection hidden="1"/>
    </xf>
    <xf numFmtId="0" fontId="55" fillId="0" borderId="0" xfId="0" applyFont="1" applyProtection="1">
      <protection hidden="1"/>
    </xf>
    <xf numFmtId="0" fontId="52" fillId="0" borderId="0" xfId="0" applyFont="1" applyProtection="1">
      <protection hidden="1"/>
    </xf>
    <xf numFmtId="3" fontId="42" fillId="55" borderId="59" xfId="0" applyNumberFormat="1" applyFont="1" applyFill="1" applyBorder="1" applyAlignment="1" applyProtection="1">
      <alignment horizontal="center" vertical="center"/>
      <protection hidden="1"/>
    </xf>
    <xf numFmtId="0" fontId="52" fillId="0" borderId="36" xfId="0" applyFont="1" applyBorder="1" applyProtection="1">
      <protection hidden="1"/>
    </xf>
    <xf numFmtId="0" fontId="54" fillId="0" borderId="44" xfId="0" applyFont="1" applyBorder="1" applyProtection="1">
      <protection hidden="1"/>
    </xf>
    <xf numFmtId="0" fontId="0" fillId="0" borderId="41" xfId="0" applyBorder="1" applyProtection="1">
      <protection hidden="1"/>
    </xf>
    <xf numFmtId="0" fontId="17" fillId="0" borderId="42" xfId="0" applyFont="1" applyBorder="1" applyProtection="1">
      <protection hidden="1"/>
    </xf>
    <xf numFmtId="0" fontId="0" fillId="0" borderId="42" xfId="0" applyBorder="1" applyProtection="1">
      <protection hidden="1"/>
    </xf>
    <xf numFmtId="0" fontId="0" fillId="0" borderId="43" xfId="0" applyBorder="1" applyProtection="1">
      <protection hidden="1"/>
    </xf>
    <xf numFmtId="0" fontId="51" fillId="0" borderId="44" xfId="0" applyFont="1" applyBorder="1" applyProtection="1">
      <protection hidden="1"/>
    </xf>
    <xf numFmtId="0" fontId="0" fillId="0" borderId="36" xfId="0" applyBorder="1" applyAlignment="1" applyProtection="1">
      <alignment vertical="center"/>
      <protection hidden="1"/>
    </xf>
    <xf numFmtId="0" fontId="17" fillId="0" borderId="44" xfId="0" applyFont="1" applyBorder="1" applyAlignment="1" applyProtection="1">
      <alignment vertical="center"/>
      <protection hidden="1"/>
    </xf>
    <xf numFmtId="0" fontId="48" fillId="0" borderId="36" xfId="0" applyFont="1" applyBorder="1" applyAlignment="1" applyProtection="1">
      <alignment vertical="center" wrapText="1"/>
      <protection hidden="1"/>
    </xf>
    <xf numFmtId="0" fontId="48" fillId="0" borderId="44" xfId="0" applyFont="1" applyBorder="1" applyAlignment="1" applyProtection="1">
      <alignment vertical="center" wrapText="1"/>
      <protection hidden="1"/>
    </xf>
    <xf numFmtId="0" fontId="18" fillId="0" borderId="36" xfId="0" applyFont="1" applyBorder="1" applyAlignment="1" applyProtection="1">
      <alignment vertical="top"/>
      <protection hidden="1"/>
    </xf>
    <xf numFmtId="0" fontId="52" fillId="0" borderId="36" xfId="0" applyFont="1" applyBorder="1" applyAlignment="1" applyProtection="1">
      <alignment vertical="top"/>
      <protection hidden="1"/>
    </xf>
    <xf numFmtId="0" fontId="52" fillId="0" borderId="0" xfId="0" applyFont="1" applyAlignment="1" applyProtection="1">
      <alignment vertical="top"/>
      <protection hidden="1"/>
    </xf>
    <xf numFmtId="0" fontId="52" fillId="0" borderId="44" xfId="0" applyFont="1" applyBorder="1" applyAlignment="1" applyProtection="1">
      <alignment vertical="top"/>
      <protection hidden="1"/>
    </xf>
    <xf numFmtId="0" fontId="48" fillId="0" borderId="36" xfId="0" applyFont="1" applyBorder="1" applyAlignment="1" applyProtection="1">
      <alignment vertical="top"/>
      <protection hidden="1"/>
    </xf>
    <xf numFmtId="0" fontId="48" fillId="0" borderId="0" xfId="0" applyFont="1" applyAlignment="1" applyProtection="1">
      <alignment vertical="top"/>
      <protection hidden="1"/>
    </xf>
    <xf numFmtId="0" fontId="47" fillId="0" borderId="0" xfId="130" applyNumberFormat="1" applyFill="1" applyBorder="1" applyAlignment="1" applyProtection="1">
      <alignment horizontal="right" vertical="top"/>
      <protection hidden="1"/>
    </xf>
    <xf numFmtId="0" fontId="48" fillId="0" borderId="0" xfId="0" applyFont="1" applyAlignment="1" applyProtection="1">
      <alignment horizontal="right" vertical="top" indent="3"/>
      <protection hidden="1"/>
    </xf>
    <xf numFmtId="0" fontId="48" fillId="0" borderId="36" xfId="0" applyFont="1" applyBorder="1" applyAlignment="1" applyProtection="1">
      <alignment horizontal="right" vertical="top" wrapText="1"/>
      <protection hidden="1"/>
    </xf>
    <xf numFmtId="0" fontId="48" fillId="0" borderId="0" xfId="0" applyFont="1" applyAlignment="1" applyProtection="1">
      <alignment horizontal="left" vertical="top"/>
      <protection hidden="1"/>
    </xf>
    <xf numFmtId="0" fontId="0" fillId="0" borderId="35" xfId="0" applyBorder="1" applyAlignment="1" applyProtection="1">
      <alignment vertical="top" wrapText="1"/>
      <protection locked="0"/>
    </xf>
    <xf numFmtId="0" fontId="0" fillId="0" borderId="0" xfId="0" applyAlignment="1">
      <alignment vertical="center" wrapText="1"/>
    </xf>
    <xf numFmtId="0" fontId="0" fillId="0" borderId="46" xfId="0" applyBorder="1"/>
    <xf numFmtId="0" fontId="42" fillId="55" borderId="0" xfId="0" applyFont="1" applyFill="1" applyAlignment="1">
      <alignment vertical="center" wrapText="1"/>
    </xf>
    <xf numFmtId="0" fontId="0" fillId="0" borderId="0" xfId="0" applyAlignment="1" applyProtection="1">
      <alignment vertical="top" wrapText="1"/>
      <protection locked="0"/>
    </xf>
    <xf numFmtId="0" fontId="0" fillId="0" borderId="0" xfId="0" applyAlignment="1">
      <alignment horizontal="center"/>
    </xf>
    <xf numFmtId="0" fontId="42" fillId="55" borderId="0" xfId="0" applyFont="1" applyFill="1" applyAlignment="1">
      <alignment horizontal="left" vertical="center" wrapText="1"/>
    </xf>
    <xf numFmtId="0" fontId="0" fillId="0" borderId="0" xfId="0" applyAlignment="1" applyProtection="1">
      <alignment vertical="top"/>
      <protection locked="0"/>
    </xf>
    <xf numFmtId="164" fontId="17" fillId="0" borderId="0" xfId="0" applyNumberFormat="1" applyFont="1" applyAlignment="1">
      <alignment horizontal="center" vertical="center"/>
    </xf>
    <xf numFmtId="164" fontId="0" fillId="0" borderId="0" xfId="0" applyNumberFormat="1" applyAlignment="1">
      <alignment horizontal="center" vertical="center"/>
    </xf>
    <xf numFmtId="164" fontId="42" fillId="55" borderId="0" xfId="0" applyNumberFormat="1" applyFont="1" applyFill="1" applyAlignment="1">
      <alignment horizontal="center" vertical="center" wrapText="1"/>
    </xf>
    <xf numFmtId="164" fontId="0" fillId="0" borderId="0" xfId="0" applyNumberFormat="1" applyAlignment="1" applyProtection="1">
      <alignment horizontal="center" vertical="center"/>
      <protection locked="0"/>
    </xf>
    <xf numFmtId="164" fontId="0" fillId="0" borderId="37" xfId="0" applyNumberFormat="1" applyBorder="1" applyAlignment="1" applyProtection="1">
      <alignment horizontal="center" vertical="center" wrapText="1"/>
      <protection locked="0"/>
    </xf>
    <xf numFmtId="0" fontId="0" fillId="0" borderId="69" xfId="0" applyBorder="1"/>
    <xf numFmtId="167" fontId="0" fillId="0" borderId="61" xfId="0" applyNumberFormat="1" applyBorder="1" applyAlignment="1">
      <alignment horizontal="left" indent="1"/>
    </xf>
    <xf numFmtId="167" fontId="0" fillId="0" borderId="63" xfId="0" applyNumberFormat="1" applyBorder="1" applyAlignment="1">
      <alignment horizontal="left" indent="1"/>
    </xf>
    <xf numFmtId="167" fontId="0" fillId="0" borderId="65" xfId="0" applyNumberFormat="1" applyBorder="1" applyAlignment="1">
      <alignment horizontal="left" indent="1"/>
    </xf>
    <xf numFmtId="49" fontId="0" fillId="0" borderId="62" xfId="0" applyNumberFormat="1" applyBorder="1" applyAlignment="1" applyProtection="1">
      <alignment horizontal="left" wrapText="1"/>
      <protection hidden="1"/>
    </xf>
    <xf numFmtId="49" fontId="0" fillId="0" borderId="64" xfId="0" applyNumberFormat="1" applyBorder="1" applyAlignment="1" applyProtection="1">
      <alignment horizontal="left" wrapText="1"/>
      <protection hidden="1"/>
    </xf>
    <xf numFmtId="49" fontId="0" fillId="0" borderId="66" xfId="0" applyNumberFormat="1" applyBorder="1" applyAlignment="1" applyProtection="1">
      <alignment horizontal="left" wrapText="1"/>
      <protection hidden="1"/>
    </xf>
    <xf numFmtId="165" fontId="0" fillId="0" borderId="57" xfId="0" applyNumberFormat="1" applyBorder="1" applyAlignment="1" applyProtection="1">
      <alignment horizontal="center"/>
      <protection hidden="1"/>
    </xf>
    <xf numFmtId="165" fontId="0" fillId="0" borderId="70" xfId="0" applyNumberFormat="1" applyBorder="1" applyAlignment="1" applyProtection="1">
      <alignment horizontal="center"/>
      <protection hidden="1"/>
    </xf>
    <xf numFmtId="0" fontId="57" fillId="0" borderId="0" xfId="130" applyFont="1" applyProtection="1">
      <protection hidden="1"/>
    </xf>
    <xf numFmtId="0" fontId="48" fillId="0" borderId="0" xfId="0" applyFont="1" applyAlignment="1" applyProtection="1">
      <alignment vertical="center" wrapText="1"/>
      <protection hidden="1"/>
    </xf>
    <xf numFmtId="49" fontId="38" fillId="0" borderId="0" xfId="0" applyNumberFormat="1" applyFont="1" applyAlignment="1" applyProtection="1">
      <alignment vertical="center" wrapText="1"/>
      <protection hidden="1"/>
    </xf>
    <xf numFmtId="0" fontId="0" fillId="0" borderId="0" xfId="0" applyAlignment="1" applyProtection="1">
      <alignment wrapText="1"/>
      <protection hidden="1"/>
    </xf>
    <xf numFmtId="0" fontId="42" fillId="55" borderId="0" xfId="0" applyFont="1" applyFill="1" applyAlignment="1" applyProtection="1">
      <alignment horizontal="left" vertical="center" wrapText="1"/>
      <protection hidden="1"/>
    </xf>
    <xf numFmtId="49" fontId="0" fillId="0" borderId="0" xfId="0" applyNumberFormat="1"/>
    <xf numFmtId="0" fontId="0" fillId="0" borderId="46" xfId="0" applyBorder="1" applyAlignment="1" applyProtection="1">
      <alignment wrapText="1"/>
      <protection hidden="1"/>
    </xf>
    <xf numFmtId="164" fontId="17" fillId="0" borderId="46" xfId="0" applyNumberFormat="1" applyFont="1" applyBorder="1" applyAlignment="1">
      <alignment horizontal="center" vertical="center"/>
    </xf>
    <xf numFmtId="49" fontId="38" fillId="0" borderId="25" xfId="0" applyNumberFormat="1" applyFont="1" applyBorder="1" applyAlignment="1" applyProtection="1">
      <alignment vertical="top" wrapText="1"/>
      <protection hidden="1"/>
    </xf>
    <xf numFmtId="49" fontId="38" fillId="0" borderId="0" xfId="0" applyNumberFormat="1" applyFont="1" applyAlignment="1" applyProtection="1">
      <alignment vertical="top" wrapText="1"/>
      <protection hidden="1"/>
    </xf>
    <xf numFmtId="0" fontId="48" fillId="0" borderId="36" xfId="0" applyFont="1" applyBorder="1" applyAlignment="1" applyProtection="1">
      <alignment vertical="top" wrapText="1"/>
      <protection hidden="1"/>
    </xf>
    <xf numFmtId="0" fontId="48" fillId="0" borderId="0" xfId="0" applyFont="1" applyAlignment="1" applyProtection="1">
      <alignment vertical="top" wrapText="1"/>
      <protection hidden="1"/>
    </xf>
    <xf numFmtId="0" fontId="48" fillId="0" borderId="44" xfId="0" applyFont="1" applyBorder="1" applyAlignment="1" applyProtection="1">
      <alignment vertical="top" wrapText="1"/>
      <protection hidden="1"/>
    </xf>
    <xf numFmtId="0" fontId="41" fillId="55" borderId="36" xfId="0" applyFont="1" applyFill="1" applyBorder="1" applyAlignment="1" applyProtection="1">
      <alignment horizontal="left" vertical="center" indent="1"/>
      <protection hidden="1"/>
    </xf>
    <xf numFmtId="0" fontId="41" fillId="55" borderId="0" xfId="0" applyFont="1" applyFill="1" applyAlignment="1" applyProtection="1">
      <alignment horizontal="left" vertical="center" indent="1"/>
      <protection hidden="1"/>
    </xf>
    <xf numFmtId="0" fontId="41" fillId="55" borderId="44" xfId="0" applyFont="1" applyFill="1" applyBorder="1" applyAlignment="1" applyProtection="1">
      <alignment horizontal="left" vertical="center" indent="1"/>
      <protection hidden="1"/>
    </xf>
    <xf numFmtId="0" fontId="49" fillId="0" borderId="0" xfId="0" applyFont="1" applyAlignment="1" applyProtection="1">
      <alignment horizontal="right" vertical="center" indent="1"/>
      <protection hidden="1"/>
    </xf>
    <xf numFmtId="0" fontId="0" fillId="0" borderId="0" xfId="0" applyAlignment="1" applyProtection="1">
      <alignment vertical="top" wrapText="1"/>
      <protection hidden="1"/>
    </xf>
    <xf numFmtId="0" fontId="0" fillId="0" borderId="0" xfId="0" applyAlignment="1">
      <alignment vertical="top"/>
    </xf>
    <xf numFmtId="0" fontId="17" fillId="0" borderId="0" xfId="0" applyFont="1" applyAlignment="1" applyProtection="1">
      <alignment vertical="top"/>
      <protection hidden="1"/>
    </xf>
    <xf numFmtId="3" fontId="17" fillId="0" borderId="0" xfId="0" applyNumberFormat="1" applyFont="1" applyAlignment="1" applyProtection="1">
      <alignment vertical="top"/>
      <protection hidden="1"/>
    </xf>
    <xf numFmtId="0" fontId="40" fillId="0" borderId="0" xfId="0" applyFont="1" applyAlignment="1" applyProtection="1">
      <alignment vertical="top"/>
      <protection hidden="1"/>
    </xf>
    <xf numFmtId="0" fontId="17" fillId="0" borderId="44" xfId="0" applyFont="1" applyBorder="1" applyAlignment="1" applyProtection="1">
      <alignment vertical="top"/>
      <protection hidden="1"/>
    </xf>
    <xf numFmtId="0" fontId="0" fillId="0" borderId="46" xfId="0" applyBorder="1" applyAlignment="1" applyProtection="1">
      <alignment horizontal="center" vertical="top"/>
      <protection hidden="1"/>
    </xf>
    <xf numFmtId="0" fontId="0" fillId="0" borderId="46" xfId="0" applyBorder="1" applyAlignment="1">
      <alignment vertical="top"/>
    </xf>
    <xf numFmtId="0" fontId="17" fillId="0" borderId="46" xfId="0" applyFont="1" applyBorder="1" applyAlignment="1" applyProtection="1">
      <alignment vertical="top"/>
      <protection hidden="1"/>
    </xf>
    <xf numFmtId="0" fontId="17" fillId="0" borderId="47" xfId="0" applyFont="1" applyBorder="1" applyAlignment="1" applyProtection="1">
      <alignment vertical="top"/>
      <protection hidden="1"/>
    </xf>
    <xf numFmtId="0" fontId="0" fillId="0" borderId="0" xfId="0" quotePrefix="1" applyAlignment="1" applyProtection="1">
      <alignment horizontal="left" vertical="top" wrapText="1"/>
      <protection hidden="1"/>
    </xf>
    <xf numFmtId="166" fontId="0" fillId="0" borderId="0" xfId="0" applyNumberFormat="1"/>
    <xf numFmtId="0" fontId="16" fillId="0" borderId="0" xfId="0" applyFont="1"/>
    <xf numFmtId="0" fontId="47" fillId="0" borderId="0" xfId="130" applyAlignment="1" applyProtection="1">
      <alignment vertical="center"/>
      <protection hidden="1"/>
    </xf>
    <xf numFmtId="0" fontId="47" fillId="0" borderId="0" xfId="130" applyBorder="1" applyAlignment="1" applyProtection="1">
      <alignment horizontal="left" vertical="center"/>
      <protection hidden="1"/>
    </xf>
    <xf numFmtId="49" fontId="38" fillId="0" borderId="25" xfId="0" applyNumberFormat="1" applyFont="1" applyBorder="1" applyAlignment="1" applyProtection="1">
      <alignment vertical="top" wrapText="1"/>
      <protection hidden="1"/>
    </xf>
    <xf numFmtId="49" fontId="38" fillId="0" borderId="0" xfId="0" applyNumberFormat="1" applyFont="1" applyAlignment="1" applyProtection="1">
      <alignment vertical="top" wrapText="1"/>
      <protection hidden="1"/>
    </xf>
    <xf numFmtId="49" fontId="38" fillId="0" borderId="24" xfId="0" applyNumberFormat="1" applyFont="1" applyBorder="1" applyAlignment="1" applyProtection="1">
      <alignment vertical="top" wrapText="1"/>
      <protection hidden="1"/>
    </xf>
    <xf numFmtId="0" fontId="48" fillId="0" borderId="36" xfId="0" applyFont="1" applyBorder="1" applyAlignment="1" applyProtection="1">
      <alignment vertical="top" wrapText="1"/>
      <protection hidden="1"/>
    </xf>
    <xf numFmtId="0" fontId="48" fillId="0" borderId="0" xfId="0" applyFont="1" applyAlignment="1" applyProtection="1">
      <alignment vertical="top" wrapText="1"/>
      <protection hidden="1"/>
    </xf>
    <xf numFmtId="0" fontId="48" fillId="0" borderId="44" xfId="0" applyFont="1" applyBorder="1" applyAlignment="1" applyProtection="1">
      <alignment vertical="top" wrapText="1"/>
      <protection hidden="1"/>
    </xf>
    <xf numFmtId="0" fontId="53" fillId="0" borderId="36" xfId="0" applyFont="1" applyBorder="1" applyAlignment="1" applyProtection="1">
      <alignment vertical="top" wrapText="1"/>
      <protection hidden="1"/>
    </xf>
    <xf numFmtId="0" fontId="53" fillId="0" borderId="0" xfId="0" applyFont="1" applyAlignment="1" applyProtection="1">
      <alignment vertical="top" wrapText="1"/>
      <protection hidden="1"/>
    </xf>
    <xf numFmtId="0" fontId="53" fillId="0" borderId="44" xfId="0" applyFont="1" applyBorder="1" applyAlignment="1" applyProtection="1">
      <alignment vertical="top" wrapText="1"/>
      <protection hidden="1"/>
    </xf>
    <xf numFmtId="0" fontId="41" fillId="55" borderId="36" xfId="0" applyFont="1" applyFill="1" applyBorder="1" applyAlignment="1" applyProtection="1">
      <alignment horizontal="left" vertical="center" indent="1"/>
      <protection hidden="1"/>
    </xf>
    <xf numFmtId="0" fontId="41" fillId="55" borderId="0" xfId="0" applyFont="1" applyFill="1" applyAlignment="1" applyProtection="1">
      <alignment horizontal="left" vertical="center" indent="1"/>
      <protection hidden="1"/>
    </xf>
    <xf numFmtId="0" fontId="41" fillId="55" borderId="44" xfId="0" applyFont="1" applyFill="1" applyBorder="1" applyAlignment="1" applyProtection="1">
      <alignment horizontal="left" vertical="center" indent="1"/>
      <protection hidden="1"/>
    </xf>
    <xf numFmtId="0" fontId="44" fillId="0" borderId="41" xfId="0" applyFont="1" applyBorder="1" applyAlignment="1" applyProtection="1">
      <alignment vertical="center" wrapText="1"/>
      <protection hidden="1"/>
    </xf>
    <xf numFmtId="0" fontId="43" fillId="0" borderId="42" xfId="0" applyFont="1" applyBorder="1" applyAlignment="1" applyProtection="1">
      <alignment vertical="center"/>
      <protection hidden="1"/>
    </xf>
    <xf numFmtId="0" fontId="43" fillId="0" borderId="43" xfId="0" applyFont="1" applyBorder="1" applyAlignment="1" applyProtection="1">
      <alignment vertical="center"/>
      <protection hidden="1"/>
    </xf>
    <xf numFmtId="0" fontId="56" fillId="0" borderId="36" xfId="0" applyFont="1" applyBorder="1" applyAlignment="1" applyProtection="1">
      <alignment vertical="top" wrapText="1"/>
      <protection hidden="1"/>
    </xf>
    <xf numFmtId="0" fontId="56" fillId="0" borderId="0" xfId="0" applyFont="1" applyAlignment="1" applyProtection="1">
      <alignment vertical="top" wrapText="1"/>
      <protection hidden="1"/>
    </xf>
    <xf numFmtId="0" fontId="56" fillId="0" borderId="44" xfId="0" applyFont="1" applyBorder="1" applyAlignment="1" applyProtection="1">
      <alignment vertical="top" wrapText="1"/>
      <protection hidden="1"/>
    </xf>
    <xf numFmtId="0" fontId="47" fillId="56" borderId="36" xfId="130" applyFill="1" applyBorder="1" applyAlignment="1" applyProtection="1">
      <alignment vertical="top"/>
      <protection hidden="1"/>
    </xf>
    <xf numFmtId="0" fontId="47" fillId="56" borderId="0" xfId="130" applyFill="1" applyBorder="1" applyAlignment="1" applyProtection="1">
      <alignment vertical="top"/>
      <protection hidden="1"/>
    </xf>
    <xf numFmtId="0" fontId="47" fillId="0" borderId="36" xfId="130" applyFill="1" applyBorder="1" applyAlignment="1" applyProtection="1">
      <alignment vertical="top"/>
      <protection hidden="1"/>
    </xf>
    <xf numFmtId="0" fontId="47" fillId="0" borderId="0" xfId="130" applyFill="1" applyBorder="1" applyAlignment="1" applyProtection="1">
      <alignment vertical="top"/>
      <protection hidden="1"/>
    </xf>
    <xf numFmtId="0" fontId="47" fillId="56" borderId="36" xfId="130" applyFill="1" applyBorder="1" applyAlignment="1" applyProtection="1">
      <alignment vertical="top" wrapText="1"/>
      <protection hidden="1"/>
    </xf>
    <xf numFmtId="0" fontId="47" fillId="56" borderId="0" xfId="130" applyFill="1" applyBorder="1" applyAlignment="1" applyProtection="1">
      <alignment vertical="top" wrapText="1"/>
      <protection hidden="1"/>
    </xf>
    <xf numFmtId="0" fontId="56" fillId="56" borderId="0" xfId="0" applyFont="1" applyFill="1" applyAlignment="1" applyProtection="1">
      <alignment vertical="top" wrapText="1"/>
      <protection hidden="1"/>
    </xf>
    <xf numFmtId="0" fontId="56" fillId="56" borderId="44" xfId="0" applyFont="1" applyFill="1" applyBorder="1" applyAlignment="1" applyProtection="1">
      <alignment vertical="top" wrapText="1"/>
      <protection hidden="1"/>
    </xf>
    <xf numFmtId="0" fontId="44" fillId="0" borderId="67" xfId="0" applyFont="1" applyBorder="1" applyAlignment="1" applyProtection="1">
      <alignment vertical="center" wrapText="1"/>
      <protection hidden="1"/>
    </xf>
    <xf numFmtId="0" fontId="43" fillId="0" borderId="20" xfId="0" applyFont="1" applyBorder="1" applyAlignment="1" applyProtection="1">
      <alignment vertical="center"/>
      <protection hidden="1"/>
    </xf>
    <xf numFmtId="0" fontId="43" fillId="0" borderId="68" xfId="0" applyFont="1" applyBorder="1" applyAlignment="1" applyProtection="1">
      <alignment vertical="center"/>
      <protection hidden="1"/>
    </xf>
    <xf numFmtId="0" fontId="48" fillId="0" borderId="26" xfId="0" applyFont="1" applyBorder="1" applyAlignment="1" applyProtection="1">
      <alignment vertical="center" wrapText="1"/>
      <protection locked="0" hidden="1"/>
    </xf>
    <xf numFmtId="0" fontId="48" fillId="0" borderId="27" xfId="0" applyFont="1" applyBorder="1" applyAlignment="1" applyProtection="1">
      <alignment vertical="center" wrapText="1"/>
      <protection locked="0" hidden="1"/>
    </xf>
    <xf numFmtId="0" fontId="48" fillId="0" borderId="28" xfId="0" applyFont="1" applyBorder="1" applyAlignment="1" applyProtection="1">
      <alignment vertical="center" wrapText="1"/>
      <protection locked="0" hidden="1"/>
    </xf>
    <xf numFmtId="0" fontId="49" fillId="0" borderId="22" xfId="0" applyFont="1" applyBorder="1" applyAlignment="1" applyProtection="1">
      <alignment horizontal="right" vertical="center" indent="1"/>
      <protection hidden="1"/>
    </xf>
    <xf numFmtId="0" fontId="49" fillId="0" borderId="0" xfId="0" applyFont="1" applyAlignment="1" applyProtection="1">
      <alignment horizontal="right" vertical="center" indent="1"/>
      <protection hidden="1"/>
    </xf>
    <xf numFmtId="0" fontId="49" fillId="0" borderId="44" xfId="0" applyFont="1" applyBorder="1" applyAlignment="1" applyProtection="1">
      <alignment horizontal="right" vertical="center" indent="1"/>
      <protection hidden="1"/>
    </xf>
    <xf numFmtId="0" fontId="0" fillId="0" borderId="0" xfId="0" applyAlignment="1">
      <alignment horizontal="right"/>
    </xf>
    <xf numFmtId="0" fontId="48" fillId="0" borderId="36" xfId="0" applyFont="1" applyBorder="1" applyAlignment="1" applyProtection="1">
      <alignment horizontal="left" vertical="top" wrapText="1"/>
      <protection hidden="1"/>
    </xf>
    <xf numFmtId="0" fontId="48" fillId="0" borderId="0" xfId="0" applyFont="1" applyAlignment="1" applyProtection="1">
      <alignment horizontal="left" vertical="top" wrapText="1"/>
      <protection hidden="1"/>
    </xf>
    <xf numFmtId="0" fontId="48" fillId="0" borderId="44" xfId="0" applyFont="1" applyBorder="1" applyAlignment="1" applyProtection="1">
      <alignment horizontal="left" vertical="top" wrapText="1"/>
      <protection hidden="1"/>
    </xf>
    <xf numFmtId="0" fontId="16" fillId="0" borderId="35" xfId="0" applyFont="1" applyBorder="1" applyAlignment="1" applyProtection="1">
      <alignment vertical="top" wrapText="1"/>
      <protection hidden="1"/>
    </xf>
    <xf numFmtId="0" fontId="0" fillId="56" borderId="49" xfId="0" applyFill="1" applyBorder="1" applyAlignment="1" applyProtection="1">
      <alignment horizontal="center" vertical="center" textRotation="90"/>
      <protection hidden="1"/>
    </xf>
    <xf numFmtId="0" fontId="0" fillId="56" borderId="43" xfId="0" applyFill="1" applyBorder="1" applyAlignment="1" applyProtection="1">
      <alignment horizontal="center" vertical="center" textRotation="90"/>
      <protection hidden="1"/>
    </xf>
    <xf numFmtId="0" fontId="0" fillId="56" borderId="48" xfId="0" applyFill="1" applyBorder="1" applyAlignment="1" applyProtection="1">
      <alignment horizontal="center" vertical="center" textRotation="90"/>
      <protection hidden="1"/>
    </xf>
    <xf numFmtId="0" fontId="0" fillId="56" borderId="44" xfId="0" applyFill="1" applyBorder="1" applyAlignment="1" applyProtection="1">
      <alignment horizontal="center" vertical="center" textRotation="90"/>
      <protection hidden="1"/>
    </xf>
    <xf numFmtId="0" fontId="0" fillId="56" borderId="50" xfId="0" applyFill="1" applyBorder="1" applyAlignment="1" applyProtection="1">
      <alignment horizontal="center" vertical="center" textRotation="90"/>
      <protection hidden="1"/>
    </xf>
    <xf numFmtId="0" fontId="0" fillId="56" borderId="47" xfId="0" applyFill="1" applyBorder="1" applyAlignment="1" applyProtection="1">
      <alignment horizontal="center" vertical="center" textRotation="90"/>
      <protection hidden="1"/>
    </xf>
    <xf numFmtId="0" fontId="0" fillId="56" borderId="41" xfId="0" applyFill="1" applyBorder="1" applyAlignment="1" applyProtection="1">
      <alignment vertical="top" wrapText="1"/>
      <protection hidden="1"/>
    </xf>
    <xf numFmtId="0" fontId="0" fillId="56" borderId="42" xfId="0" applyFill="1" applyBorder="1" applyAlignment="1" applyProtection="1">
      <alignment vertical="top" wrapText="1"/>
      <protection hidden="1"/>
    </xf>
    <xf numFmtId="0" fontId="0" fillId="56" borderId="52" xfId="0" applyFill="1" applyBorder="1" applyAlignment="1" applyProtection="1">
      <alignment vertical="top" wrapText="1"/>
      <protection hidden="1"/>
    </xf>
    <xf numFmtId="0" fontId="0" fillId="0" borderId="36" xfId="0" applyBorder="1" applyAlignment="1" applyProtection="1">
      <alignment vertical="top" wrapText="1"/>
      <protection hidden="1"/>
    </xf>
    <xf numFmtId="0" fontId="0" fillId="0" borderId="0" xfId="0" applyAlignment="1" applyProtection="1">
      <alignment vertical="top" wrapText="1"/>
      <protection hidden="1"/>
    </xf>
    <xf numFmtId="0" fontId="0" fillId="0" borderId="37" xfId="0" applyBorder="1" applyAlignment="1" applyProtection="1">
      <alignment vertical="top" wrapText="1"/>
      <protection hidden="1"/>
    </xf>
    <xf numFmtId="0" fontId="0" fillId="56" borderId="51" xfId="0" applyFill="1" applyBorder="1" applyAlignment="1" applyProtection="1">
      <alignment horizontal="center" vertical="center" textRotation="90"/>
      <protection hidden="1"/>
    </xf>
    <xf numFmtId="0" fontId="0" fillId="56" borderId="40" xfId="0" applyFill="1" applyBorder="1" applyAlignment="1" applyProtection="1">
      <alignment horizontal="center" vertical="center" textRotation="90"/>
      <protection hidden="1"/>
    </xf>
    <xf numFmtId="0" fontId="0" fillId="56" borderId="36" xfId="0" applyFill="1" applyBorder="1" applyAlignment="1" applyProtection="1">
      <alignment vertical="top" wrapText="1"/>
      <protection hidden="1"/>
    </xf>
    <xf numFmtId="0" fontId="0" fillId="56" borderId="0" xfId="0" applyFill="1" applyAlignment="1" applyProtection="1">
      <alignment vertical="top" wrapText="1"/>
      <protection hidden="1"/>
    </xf>
    <xf numFmtId="0" fontId="0" fillId="56" borderId="37" xfId="0" applyFill="1" applyBorder="1" applyAlignment="1" applyProtection="1">
      <alignment vertical="top" wrapText="1"/>
      <protection hidden="1"/>
    </xf>
    <xf numFmtId="0" fontId="0" fillId="0" borderId="45" xfId="0" applyBorder="1" applyAlignment="1" applyProtection="1">
      <alignment vertical="top" wrapText="1"/>
      <protection hidden="1"/>
    </xf>
    <xf numFmtId="0" fontId="0" fillId="0" borderId="46" xfId="0" applyBorder="1" applyAlignment="1" applyProtection="1">
      <alignment vertical="top" wrapText="1"/>
      <protection hidden="1"/>
    </xf>
    <xf numFmtId="0" fontId="0" fillId="0" borderId="53" xfId="0" applyBorder="1" applyAlignment="1" applyProtection="1">
      <alignment vertical="top" wrapText="1"/>
      <protection hidden="1"/>
    </xf>
    <xf numFmtId="0" fontId="44" fillId="0" borderId="41" xfId="0" applyFont="1" applyBorder="1" applyAlignment="1" applyProtection="1">
      <alignment vertical="center"/>
      <protection hidden="1"/>
    </xf>
    <xf numFmtId="0" fontId="44" fillId="0" borderId="42" xfId="0" applyFont="1" applyBorder="1" applyAlignment="1" applyProtection="1">
      <alignment vertical="center"/>
      <protection hidden="1"/>
    </xf>
    <xf numFmtId="0" fontId="44" fillId="0" borderId="43" xfId="0" applyFont="1" applyBorder="1" applyAlignment="1" applyProtection="1">
      <alignment vertical="center"/>
      <protection hidden="1"/>
    </xf>
    <xf numFmtId="0" fontId="42" fillId="55" borderId="33" xfId="0" applyFont="1" applyFill="1" applyBorder="1" applyAlignment="1" applyProtection="1">
      <alignment horizontal="center"/>
      <protection hidden="1"/>
    </xf>
    <xf numFmtId="0" fontId="42" fillId="55" borderId="30" xfId="0" applyFont="1" applyFill="1" applyBorder="1" applyAlignment="1" applyProtection="1">
      <alignment horizontal="center"/>
      <protection hidden="1"/>
    </xf>
    <xf numFmtId="0" fontId="42" fillId="55" borderId="29" xfId="0" applyFont="1" applyFill="1" applyBorder="1" applyAlignment="1" applyProtection="1">
      <alignment vertical="center"/>
      <protection hidden="1"/>
    </xf>
    <xf numFmtId="0" fontId="42" fillId="55" borderId="31" xfId="0" applyFont="1" applyFill="1" applyBorder="1" applyAlignment="1" applyProtection="1">
      <alignment vertical="center"/>
      <protection hidden="1"/>
    </xf>
    <xf numFmtId="0" fontId="42" fillId="55" borderId="29" xfId="0" applyFont="1" applyFill="1" applyBorder="1" applyAlignment="1" applyProtection="1">
      <alignment horizontal="center" vertical="center" wrapText="1"/>
      <protection hidden="1"/>
    </xf>
    <xf numFmtId="0" fontId="42" fillId="55" borderId="31" xfId="0" applyFont="1" applyFill="1" applyBorder="1" applyAlignment="1" applyProtection="1">
      <alignment horizontal="center" vertical="center" wrapText="1"/>
      <protection hidden="1"/>
    </xf>
    <xf numFmtId="0" fontId="42" fillId="55" borderId="29" xfId="0" applyFont="1" applyFill="1" applyBorder="1" applyAlignment="1">
      <alignment vertical="center" wrapText="1"/>
    </xf>
    <xf numFmtId="0" fontId="42" fillId="55" borderId="31" xfId="0" applyFont="1" applyFill="1" applyBorder="1" applyAlignment="1">
      <alignment vertical="center" wrapText="1"/>
    </xf>
    <xf numFmtId="0" fontId="42" fillId="55" borderId="29" xfId="0" applyFont="1" applyFill="1" applyBorder="1" applyAlignment="1">
      <alignment horizontal="left" vertical="center" wrapText="1"/>
    </xf>
    <xf numFmtId="0" fontId="42" fillId="55" borderId="31" xfId="0" applyFont="1" applyFill="1" applyBorder="1" applyAlignment="1">
      <alignment horizontal="left" vertical="center" wrapText="1"/>
    </xf>
    <xf numFmtId="0" fontId="42" fillId="55" borderId="29" xfId="0" applyFont="1" applyFill="1" applyBorder="1" applyAlignment="1" applyProtection="1">
      <alignment horizontal="center"/>
      <protection hidden="1"/>
    </xf>
    <xf numFmtId="0" fontId="42" fillId="55" borderId="34" xfId="0" applyFont="1" applyFill="1" applyBorder="1" applyAlignment="1" applyProtection="1">
      <alignment horizontal="center"/>
      <protection hidden="1"/>
    </xf>
    <xf numFmtId="0" fontId="44" fillId="0" borderId="19" xfId="0" applyFont="1" applyBorder="1" applyAlignment="1" applyProtection="1">
      <alignment vertical="center"/>
      <protection hidden="1"/>
    </xf>
    <xf numFmtId="0" fontId="44" fillId="0" borderId="20" xfId="0" applyFont="1" applyBorder="1" applyAlignment="1" applyProtection="1">
      <alignment vertical="center"/>
      <protection hidden="1"/>
    </xf>
    <xf numFmtId="0" fontId="44" fillId="0" borderId="21" xfId="0" applyFont="1" applyBorder="1" applyAlignment="1" applyProtection="1">
      <alignment vertical="center"/>
      <protection hidden="1"/>
    </xf>
    <xf numFmtId="0" fontId="41" fillId="55" borderId="22" xfId="0" applyFont="1" applyFill="1" applyBorder="1" applyAlignment="1" applyProtection="1">
      <alignment horizontal="left" vertical="center" indent="1"/>
      <protection hidden="1"/>
    </xf>
    <xf numFmtId="0" fontId="41" fillId="55" borderId="23" xfId="0" applyFont="1" applyFill="1" applyBorder="1" applyAlignment="1" applyProtection="1">
      <alignment horizontal="left" vertical="center" indent="1"/>
      <protection hidden="1"/>
    </xf>
    <xf numFmtId="0" fontId="52" fillId="0" borderId="0" xfId="0" applyFont="1" applyAlignment="1" applyProtection="1">
      <alignment horizontal="left" vertical="top" wrapText="1"/>
      <protection hidden="1"/>
    </xf>
    <xf numFmtId="0" fontId="0" fillId="56" borderId="41" xfId="0" applyFill="1" applyBorder="1" applyAlignment="1" applyProtection="1">
      <alignment wrapText="1"/>
      <protection hidden="1"/>
    </xf>
    <xf numFmtId="0" fontId="0" fillId="56" borderId="42" xfId="0" applyFill="1" applyBorder="1" applyAlignment="1" applyProtection="1">
      <alignment wrapText="1"/>
      <protection hidden="1"/>
    </xf>
    <xf numFmtId="0" fontId="0" fillId="56" borderId="52" xfId="0" applyFill="1" applyBorder="1" applyAlignment="1" applyProtection="1">
      <alignment wrapText="1"/>
      <protection hidden="1"/>
    </xf>
    <xf numFmtId="0" fontId="0" fillId="0" borderId="36" xfId="0" applyBorder="1" applyAlignment="1" applyProtection="1">
      <alignment wrapText="1"/>
      <protection hidden="1"/>
    </xf>
    <xf numFmtId="0" fontId="0" fillId="0" borderId="0" xfId="0" applyAlignment="1" applyProtection="1">
      <alignment wrapText="1"/>
      <protection hidden="1"/>
    </xf>
    <xf numFmtId="0" fontId="0" fillId="0" borderId="37" xfId="0" applyBorder="1" applyAlignment="1" applyProtection="1">
      <alignment wrapText="1"/>
      <protection hidden="1"/>
    </xf>
    <xf numFmtId="0" fontId="0" fillId="56" borderId="36" xfId="0" applyFill="1" applyBorder="1" applyAlignment="1" applyProtection="1">
      <alignment wrapText="1"/>
      <protection hidden="1"/>
    </xf>
    <xf numFmtId="0" fontId="0" fillId="56" borderId="0" xfId="0" applyFill="1" applyAlignment="1" applyProtection="1">
      <alignment wrapText="1"/>
      <protection hidden="1"/>
    </xf>
    <xf numFmtId="0" fontId="0" fillId="56" borderId="37" xfId="0" applyFill="1" applyBorder="1" applyAlignment="1" applyProtection="1">
      <alignment wrapText="1"/>
      <protection hidden="1"/>
    </xf>
    <xf numFmtId="0" fontId="0" fillId="56" borderId="45" xfId="0" applyFill="1" applyBorder="1" applyAlignment="1" applyProtection="1">
      <alignment vertical="top" wrapText="1"/>
      <protection hidden="1"/>
    </xf>
    <xf numFmtId="0" fontId="0" fillId="56" borderId="46" xfId="0" applyFill="1" applyBorder="1" applyAlignment="1" applyProtection="1">
      <alignment vertical="top" wrapText="1"/>
      <protection hidden="1"/>
    </xf>
    <xf numFmtId="0" fontId="0" fillId="56" borderId="53" xfId="0" applyFill="1" applyBorder="1" applyAlignment="1" applyProtection="1">
      <alignment vertical="top" wrapText="1"/>
      <protection hidden="1"/>
    </xf>
    <xf numFmtId="0" fontId="0" fillId="0" borderId="35" xfId="0" applyBorder="1" applyAlignment="1" applyProtection="1">
      <alignment vertical="top" wrapText="1"/>
      <protection hidden="1"/>
    </xf>
    <xf numFmtId="0" fontId="0" fillId="56" borderId="54" xfId="0" applyFill="1" applyBorder="1" applyAlignment="1" applyProtection="1">
      <alignment vertical="top" wrapText="1"/>
      <protection hidden="1"/>
    </xf>
    <xf numFmtId="0" fontId="0" fillId="56" borderId="55" xfId="0" applyFill="1" applyBorder="1" applyAlignment="1" applyProtection="1">
      <alignment vertical="top" wrapText="1"/>
      <protection hidden="1"/>
    </xf>
    <xf numFmtId="0" fontId="0" fillId="56" borderId="56" xfId="0" applyFill="1" applyBorder="1" applyAlignment="1" applyProtection="1">
      <alignment vertical="top" wrapText="1"/>
      <protection hidden="1"/>
    </xf>
    <xf numFmtId="0" fontId="0" fillId="57" borderId="61" xfId="0" applyFill="1" applyBorder="1" applyAlignment="1">
      <alignment horizontal="left" indent="1"/>
    </xf>
    <xf numFmtId="0" fontId="0" fillId="58" borderId="61" xfId="0" applyFill="1" applyBorder="1" applyAlignment="1">
      <alignment horizontal="left" indent="1"/>
    </xf>
    <xf numFmtId="0" fontId="0" fillId="59" borderId="61" xfId="0" applyFill="1" applyBorder="1" applyAlignment="1">
      <alignment horizontal="left" indent="1"/>
    </xf>
  </cellXfs>
  <cellStyles count="131">
    <cellStyle name="20% - Accent1" xfId="18" builtinId="30" customBuiltin="1"/>
    <cellStyle name="20% - Accent1 2" xfId="41" xr:uid="{00000000-0005-0000-0000-000001000000}"/>
    <cellStyle name="20% - Accent1 3" xfId="92" xr:uid="{00000000-0005-0000-0000-000002000000}"/>
    <cellStyle name="20% - Accent2" xfId="22" builtinId="34" customBuiltin="1"/>
    <cellStyle name="20% - Accent2 2" xfId="42" xr:uid="{00000000-0005-0000-0000-000004000000}"/>
    <cellStyle name="20% - Accent2 3" xfId="93" xr:uid="{00000000-0005-0000-0000-000005000000}"/>
    <cellStyle name="20% - Accent3" xfId="26" builtinId="38" customBuiltin="1"/>
    <cellStyle name="20% - Accent3 2" xfId="43" xr:uid="{00000000-0005-0000-0000-000007000000}"/>
    <cellStyle name="20% - Accent3 3" xfId="94" xr:uid="{00000000-0005-0000-0000-000008000000}"/>
    <cellStyle name="20% - Accent4" xfId="30" builtinId="42" customBuiltin="1"/>
    <cellStyle name="20% - Accent4 2" xfId="44" xr:uid="{00000000-0005-0000-0000-00000A000000}"/>
    <cellStyle name="20% - Accent4 3" xfId="95" xr:uid="{00000000-0005-0000-0000-00000B000000}"/>
    <cellStyle name="20% - Accent5" xfId="34" builtinId="46" customBuiltin="1"/>
    <cellStyle name="20% - Accent5 2" xfId="45" xr:uid="{00000000-0005-0000-0000-00000D000000}"/>
    <cellStyle name="20% - Accent5 3" xfId="96" xr:uid="{00000000-0005-0000-0000-00000E000000}"/>
    <cellStyle name="20% - Accent6" xfId="38" builtinId="50" customBuiltin="1"/>
    <cellStyle name="20% - Accent6 2" xfId="46" xr:uid="{00000000-0005-0000-0000-000010000000}"/>
    <cellStyle name="20% - Accent6 3" xfId="97" xr:uid="{00000000-0005-0000-0000-000011000000}"/>
    <cellStyle name="40% - Accent1" xfId="19" builtinId="31" customBuiltin="1"/>
    <cellStyle name="40% - Accent1 2" xfId="47" xr:uid="{00000000-0005-0000-0000-000013000000}"/>
    <cellStyle name="40% - Accent1 3" xfId="98" xr:uid="{00000000-0005-0000-0000-000014000000}"/>
    <cellStyle name="40% - Accent2" xfId="23" builtinId="35" customBuiltin="1"/>
    <cellStyle name="40% - Accent2 2" xfId="48" xr:uid="{00000000-0005-0000-0000-000016000000}"/>
    <cellStyle name="40% - Accent2 3" xfId="99" xr:uid="{00000000-0005-0000-0000-000017000000}"/>
    <cellStyle name="40% - Accent3" xfId="27" builtinId="39" customBuiltin="1"/>
    <cellStyle name="40% - Accent3 2" xfId="49" xr:uid="{00000000-0005-0000-0000-000019000000}"/>
    <cellStyle name="40% - Accent3 3" xfId="100" xr:uid="{00000000-0005-0000-0000-00001A000000}"/>
    <cellStyle name="40% - Accent4" xfId="31" builtinId="43" customBuiltin="1"/>
    <cellStyle name="40% - Accent4 2" xfId="50" xr:uid="{00000000-0005-0000-0000-00001C000000}"/>
    <cellStyle name="40% - Accent4 3" xfId="101" xr:uid="{00000000-0005-0000-0000-00001D000000}"/>
    <cellStyle name="40% - Accent5" xfId="35" builtinId="47" customBuiltin="1"/>
    <cellStyle name="40% - Accent5 2" xfId="51" xr:uid="{00000000-0005-0000-0000-00001F000000}"/>
    <cellStyle name="40% - Accent5 3" xfId="102" xr:uid="{00000000-0005-0000-0000-000020000000}"/>
    <cellStyle name="40% - Accent6" xfId="39" builtinId="51" customBuiltin="1"/>
    <cellStyle name="40% - Accent6 2" xfId="52" xr:uid="{00000000-0005-0000-0000-000022000000}"/>
    <cellStyle name="40% - Accent6 3" xfId="103" xr:uid="{00000000-0005-0000-0000-000023000000}"/>
    <cellStyle name="60% - Accent1" xfId="20" builtinId="32" customBuiltin="1"/>
    <cellStyle name="60% - Accent1 2" xfId="53" xr:uid="{00000000-0005-0000-0000-000025000000}"/>
    <cellStyle name="60% - Accent1 3" xfId="104" xr:uid="{00000000-0005-0000-0000-000026000000}"/>
    <cellStyle name="60% - Accent2" xfId="24" builtinId="36" customBuiltin="1"/>
    <cellStyle name="60% - Accent2 2" xfId="54" xr:uid="{00000000-0005-0000-0000-000028000000}"/>
    <cellStyle name="60% - Accent2 3" xfId="105" xr:uid="{00000000-0005-0000-0000-000029000000}"/>
    <cellStyle name="60% - Accent3" xfId="28" builtinId="40" customBuiltin="1"/>
    <cellStyle name="60% - Accent3 2" xfId="55" xr:uid="{00000000-0005-0000-0000-00002B000000}"/>
    <cellStyle name="60% - Accent3 3" xfId="106" xr:uid="{00000000-0005-0000-0000-00002C000000}"/>
    <cellStyle name="60% - Accent4" xfId="32" builtinId="44" customBuiltin="1"/>
    <cellStyle name="60% - Accent4 2" xfId="56" xr:uid="{00000000-0005-0000-0000-00002E000000}"/>
    <cellStyle name="60% - Accent4 3" xfId="107" xr:uid="{00000000-0005-0000-0000-00002F000000}"/>
    <cellStyle name="60% - Accent5" xfId="36" builtinId="48" customBuiltin="1"/>
    <cellStyle name="60% - Accent5 2" xfId="57" xr:uid="{00000000-0005-0000-0000-000031000000}"/>
    <cellStyle name="60% - Accent5 3" xfId="108" xr:uid="{00000000-0005-0000-0000-000032000000}"/>
    <cellStyle name="60% - Accent6" xfId="40" builtinId="52" customBuiltin="1"/>
    <cellStyle name="60% - Accent6 2" xfId="58" xr:uid="{00000000-0005-0000-0000-000034000000}"/>
    <cellStyle name="60% - Accent6 3" xfId="109" xr:uid="{00000000-0005-0000-0000-000035000000}"/>
    <cellStyle name="Accent1" xfId="17" builtinId="29" customBuiltin="1"/>
    <cellStyle name="Accent1 2" xfId="59" xr:uid="{00000000-0005-0000-0000-000037000000}"/>
    <cellStyle name="Accent1 3" xfId="110" xr:uid="{00000000-0005-0000-0000-000038000000}"/>
    <cellStyle name="Accent2" xfId="21" builtinId="33" customBuiltin="1"/>
    <cellStyle name="Accent2 2" xfId="60" xr:uid="{00000000-0005-0000-0000-00003A000000}"/>
    <cellStyle name="Accent2 3" xfId="111" xr:uid="{00000000-0005-0000-0000-00003B000000}"/>
    <cellStyle name="Accent3" xfId="25" builtinId="37" customBuiltin="1"/>
    <cellStyle name="Accent3 2" xfId="61" xr:uid="{00000000-0005-0000-0000-00003D000000}"/>
    <cellStyle name="Accent3 3" xfId="112" xr:uid="{00000000-0005-0000-0000-00003E000000}"/>
    <cellStyle name="Accent4" xfId="29" builtinId="41" customBuiltin="1"/>
    <cellStyle name="Accent4 2" xfId="62" xr:uid="{00000000-0005-0000-0000-000040000000}"/>
    <cellStyle name="Accent4 3" xfId="113" xr:uid="{00000000-0005-0000-0000-000041000000}"/>
    <cellStyle name="Accent5" xfId="33" builtinId="45" customBuiltin="1"/>
    <cellStyle name="Accent5 2" xfId="63" xr:uid="{00000000-0005-0000-0000-000043000000}"/>
    <cellStyle name="Accent5 3" xfId="114" xr:uid="{00000000-0005-0000-0000-000044000000}"/>
    <cellStyle name="Accent6" xfId="37" builtinId="49" customBuiltin="1"/>
    <cellStyle name="Accent6 2" xfId="64" xr:uid="{00000000-0005-0000-0000-000046000000}"/>
    <cellStyle name="Accent6 3" xfId="115" xr:uid="{00000000-0005-0000-0000-000047000000}"/>
    <cellStyle name="Bad" xfId="7" builtinId="27" customBuiltin="1"/>
    <cellStyle name="Bad 2" xfId="65" xr:uid="{00000000-0005-0000-0000-000049000000}"/>
    <cellStyle name="Bad 3" xfId="116" xr:uid="{00000000-0005-0000-0000-00004A000000}"/>
    <cellStyle name="Calculation" xfId="11" builtinId="22" customBuiltin="1"/>
    <cellStyle name="Calculation 2" xfId="66" xr:uid="{00000000-0005-0000-0000-00004C000000}"/>
    <cellStyle name="Calculation 3" xfId="117" xr:uid="{00000000-0005-0000-0000-00004D000000}"/>
    <cellStyle name="Check Cell" xfId="13" builtinId="23" customBuiltin="1"/>
    <cellStyle name="Check Cell 2" xfId="67" xr:uid="{00000000-0005-0000-0000-00004F000000}"/>
    <cellStyle name="Check Cell 3" xfId="118" xr:uid="{00000000-0005-0000-0000-000050000000}"/>
    <cellStyle name="Explanatory Text" xfId="15" builtinId="53" customBuiltin="1"/>
    <cellStyle name="Explanatory Text 2" xfId="68" xr:uid="{00000000-0005-0000-0000-000053000000}"/>
    <cellStyle name="Explanatory Text 3" xfId="119" xr:uid="{00000000-0005-0000-0000-000054000000}"/>
    <cellStyle name="Good" xfId="6" builtinId="26" customBuiltin="1"/>
    <cellStyle name="Good 2" xfId="69" xr:uid="{00000000-0005-0000-0000-000056000000}"/>
    <cellStyle name="Good 3" xfId="120" xr:uid="{00000000-0005-0000-0000-000057000000}"/>
    <cellStyle name="Heading 1" xfId="2" builtinId="16" customBuiltin="1"/>
    <cellStyle name="Heading 1 2" xfId="70" xr:uid="{00000000-0005-0000-0000-000059000000}"/>
    <cellStyle name="Heading 2" xfId="3" builtinId="17" customBuiltin="1"/>
    <cellStyle name="Heading 2 2" xfId="71" xr:uid="{00000000-0005-0000-0000-00005B000000}"/>
    <cellStyle name="Heading 3" xfId="4" builtinId="18" customBuiltin="1"/>
    <cellStyle name="Heading 3 2" xfId="72" xr:uid="{00000000-0005-0000-0000-00005D000000}"/>
    <cellStyle name="Heading 4" xfId="5" builtinId="19" customBuiltin="1"/>
    <cellStyle name="Heading 4 2" xfId="73" xr:uid="{00000000-0005-0000-0000-00005F000000}"/>
    <cellStyle name="Hyperlink" xfId="130" builtinId="8"/>
    <cellStyle name="Hyperlink 2" xfId="74" xr:uid="{00000000-0005-0000-0000-000061000000}"/>
    <cellStyle name="Input" xfId="9" builtinId="20" customBuiltin="1"/>
    <cellStyle name="Input 2" xfId="75" xr:uid="{00000000-0005-0000-0000-000063000000}"/>
    <cellStyle name="Input 3" xfId="121" xr:uid="{00000000-0005-0000-0000-000064000000}"/>
    <cellStyle name="Linked Cell" xfId="12" builtinId="24" customBuiltin="1"/>
    <cellStyle name="Linked Cell 2" xfId="76" xr:uid="{00000000-0005-0000-0000-000066000000}"/>
    <cellStyle name="Linked Cell 3" xfId="122" xr:uid="{00000000-0005-0000-0000-000067000000}"/>
    <cellStyle name="Neutral" xfId="8" builtinId="28" customBuiltin="1"/>
    <cellStyle name="Neutral 2" xfId="77" xr:uid="{00000000-0005-0000-0000-000069000000}"/>
    <cellStyle name="Neutral 3" xfId="123" xr:uid="{00000000-0005-0000-0000-00006A000000}"/>
    <cellStyle name="Normal" xfId="0" builtinId="0"/>
    <cellStyle name="Normal 2" xfId="78" xr:uid="{00000000-0005-0000-0000-00006C000000}"/>
    <cellStyle name="Normal 2 2" xfId="88" xr:uid="{00000000-0005-0000-0000-00006D000000}"/>
    <cellStyle name="Normal 2 2 2" xfId="91" xr:uid="{00000000-0005-0000-0000-00006E000000}"/>
    <cellStyle name="Normal 3" xfId="79" xr:uid="{00000000-0005-0000-0000-00006F000000}"/>
    <cellStyle name="Normal 3 2" xfId="87" xr:uid="{00000000-0005-0000-0000-000070000000}"/>
    <cellStyle name="Normal 3 2 2" xfId="90" xr:uid="{00000000-0005-0000-0000-000071000000}"/>
    <cellStyle name="Normal 3 3" xfId="89" xr:uid="{00000000-0005-0000-0000-000072000000}"/>
    <cellStyle name="Normal 4" xfId="124" xr:uid="{00000000-0005-0000-0000-000073000000}"/>
    <cellStyle name="Normal 4 2" xfId="125" xr:uid="{00000000-0005-0000-0000-000074000000}"/>
    <cellStyle name="Normal 5" xfId="126" xr:uid="{00000000-0005-0000-0000-000075000000}"/>
    <cellStyle name="Note 2" xfId="81" xr:uid="{00000000-0005-0000-0000-000076000000}"/>
    <cellStyle name="Note 3" xfId="82" xr:uid="{00000000-0005-0000-0000-000077000000}"/>
    <cellStyle name="Note 4" xfId="80" xr:uid="{00000000-0005-0000-0000-000078000000}"/>
    <cellStyle name="Output" xfId="10" builtinId="21" customBuiltin="1"/>
    <cellStyle name="Output 2" xfId="83" xr:uid="{00000000-0005-0000-0000-00007A000000}"/>
    <cellStyle name="Output 3" xfId="127" xr:uid="{00000000-0005-0000-0000-00007B000000}"/>
    <cellStyle name="Title" xfId="1" builtinId="15" customBuiltin="1"/>
    <cellStyle name="Title 2" xfId="84" xr:uid="{00000000-0005-0000-0000-00007E000000}"/>
    <cellStyle name="Total" xfId="16" builtinId="25" customBuiltin="1"/>
    <cellStyle name="Total 2" xfId="85" xr:uid="{00000000-0005-0000-0000-000080000000}"/>
    <cellStyle name="Total 3" xfId="128" xr:uid="{00000000-0005-0000-0000-000081000000}"/>
    <cellStyle name="Warning Text" xfId="14" builtinId="11" customBuiltin="1"/>
    <cellStyle name="Warning Text 2" xfId="86" xr:uid="{00000000-0005-0000-0000-000083000000}"/>
    <cellStyle name="Warning Text 3" xfId="129" xr:uid="{00000000-0005-0000-0000-000084000000}"/>
  </cellStyles>
  <dxfs count="16">
    <dxf>
      <font>
        <b/>
        <i val="0"/>
      </font>
      <fill>
        <patternFill>
          <bgColor rgb="FFDA291C"/>
        </patternFill>
      </fill>
    </dxf>
    <dxf>
      <font>
        <b/>
        <i val="0"/>
      </font>
      <fill>
        <patternFill>
          <bgColor rgb="FFFFB81C"/>
        </patternFill>
      </fill>
    </dxf>
    <dxf>
      <fill>
        <patternFill patternType="gray125">
          <fgColor rgb="FFDA291C"/>
        </patternFill>
      </fill>
    </dxf>
    <dxf>
      <fill>
        <patternFill patternType="gray125">
          <fgColor rgb="FFFFB81C"/>
          <bgColor auto="1"/>
        </patternFill>
      </fill>
    </dxf>
    <dxf>
      <fill>
        <patternFill patternType="gray125">
          <fgColor rgb="FFDA291C"/>
          <bgColor auto="1"/>
        </patternFill>
      </fill>
      <border>
        <left style="thin">
          <color rgb="FFDA291C"/>
        </left>
        <right style="thin">
          <color rgb="FFDA291C"/>
        </right>
        <top style="thin">
          <color rgb="FFDA291C"/>
        </top>
        <bottom style="thin">
          <color rgb="FFDA291C"/>
        </bottom>
        <vertical/>
        <horizontal/>
      </border>
    </dxf>
    <dxf>
      <fill>
        <patternFill patternType="gray125">
          <fgColor rgb="FFFFB81C"/>
        </patternFill>
      </fill>
      <border>
        <left style="thin">
          <color rgb="FFFFB81C"/>
        </left>
        <right style="thin">
          <color rgb="FFFFB81C"/>
        </right>
        <top style="thin">
          <color rgb="FFFFB81C"/>
        </top>
        <bottom style="thin">
          <color rgb="FFFFB81C"/>
        </bottom>
        <vertical/>
        <horizontal/>
      </border>
    </dxf>
    <dxf>
      <font>
        <b val="0"/>
        <i val="0"/>
        <strike val="0"/>
        <condense val="0"/>
        <extend val="0"/>
        <outline val="0"/>
        <shadow val="0"/>
        <u val="none"/>
        <vertAlign val="baseline"/>
        <sz val="11"/>
        <color theme="1"/>
        <name val="Arial"/>
        <family val="2"/>
        <scheme val="minor"/>
      </font>
      <numFmt numFmtId="164" formatCode="d/m/yy;@"/>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minor"/>
      </font>
      <alignment horizontal="general" vertical="top" textRotation="0" wrapText="0" indent="0" justifyLastLine="0" shrinkToFit="0" readingOrder="0"/>
      <protection locked="0" hidden="0"/>
    </dxf>
    <dxf>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rial"/>
        <family val="2"/>
        <scheme val="minor"/>
      </font>
      <numFmt numFmtId="0" formatCode="General"/>
      <alignment horizontal="general" vertical="top" textRotation="0" wrapText="1" indent="0" justifyLastLine="0" shrinkToFit="0" readingOrder="0"/>
      <protection locked="1" hidden="1"/>
    </dxf>
    <dxf>
      <font>
        <b val="0"/>
        <i val="0"/>
        <strike val="0"/>
        <condense val="0"/>
        <extend val="0"/>
        <outline val="0"/>
        <shadow val="0"/>
        <u val="none"/>
        <vertAlign val="baseline"/>
        <sz val="11"/>
        <color theme="1"/>
        <name val="Arial"/>
        <family val="2"/>
        <scheme val="minor"/>
      </font>
      <numFmt numFmtId="0" formatCode="General"/>
      <alignment horizontal="general" vertical="top" textRotation="0" wrapText="1" indent="0" justifyLastLine="0" shrinkToFit="0" readingOrder="0"/>
      <protection locked="1" hidden="1"/>
    </dxf>
    <dxf>
      <font>
        <b val="0"/>
        <i val="0"/>
        <strike val="0"/>
        <condense val="0"/>
        <extend val="0"/>
        <outline val="0"/>
        <shadow val="0"/>
        <u val="none"/>
        <vertAlign val="baseline"/>
        <sz val="11"/>
        <color theme="1"/>
        <name val="Arial"/>
        <family val="2"/>
        <scheme val="minor"/>
      </font>
      <numFmt numFmtId="0" formatCode="General"/>
      <alignment horizontal="general" vertical="top" textRotation="0" wrapText="1" indent="0" justifyLastLine="0" shrinkToFit="0" readingOrder="0"/>
      <protection locked="1" hidden="1"/>
    </dxf>
    <dxf>
      <font>
        <b val="0"/>
        <i val="0"/>
        <strike val="0"/>
        <condense val="0"/>
        <extend val="0"/>
        <outline val="0"/>
        <shadow val="0"/>
        <u val="none"/>
        <vertAlign val="baseline"/>
        <sz val="11"/>
        <color theme="1"/>
        <name val="Arial"/>
        <family val="2"/>
        <scheme val="minor"/>
      </font>
      <alignment horizontal="center" vertical="top" textRotation="0" wrapText="0" indent="0" justifyLastLine="0" shrinkToFit="0" readingOrder="0"/>
      <protection locked="1" hidden="1"/>
    </dxf>
    <dxf>
      <border>
        <top style="thin">
          <color rgb="FF005EB8"/>
        </top>
        <bottom style="thin">
          <color rgb="FF005EB8"/>
        </bottom>
        <vertical style="thin">
          <color rgb="FF005EB8"/>
        </vertical>
        <horizontal style="thin">
          <color rgb="FF005EB8"/>
        </horizontal>
      </border>
    </dxf>
    <dxf>
      <fill>
        <patternFill patternType="solid">
          <fgColor auto="1"/>
          <bgColor rgb="FFE8EDEE"/>
        </patternFill>
      </fill>
      <border>
        <top style="thin">
          <color rgb="FF005EB8"/>
        </top>
        <bottom style="thin">
          <color rgb="FF005EB8"/>
        </bottom>
        <vertical style="thin">
          <color rgb="FF005EB8"/>
        </vertical>
        <horizontal style="thin">
          <color rgb="FF005EB8"/>
        </horizontal>
      </border>
    </dxf>
    <dxf>
      <border>
        <left style="medium">
          <color rgb="FF005EB8"/>
        </left>
        <right style="medium">
          <color rgb="FF005EB8"/>
        </right>
        <top style="medium">
          <color rgb="FF005EB8"/>
        </top>
        <bottom style="medium">
          <color rgb="FF005EB8"/>
        </bottom>
        <vertical style="thin">
          <color rgb="FF005EB8"/>
        </vertical>
        <horizontal style="thin">
          <color rgb="FF005EB8"/>
        </horizontal>
      </border>
    </dxf>
  </dxfs>
  <tableStyles count="1" defaultTableStyle="NHS" defaultPivotStyle="PivotStyleLight16">
    <tableStyle name="NHS" pivot="0" count="3" xr9:uid="{B1F179DE-8BAC-4507-A9E7-179489180A6C}">
      <tableStyleElement type="wholeTable" dxfId="15"/>
      <tableStyleElement type="secondRowStripe" dxfId="14"/>
      <tableStyleElement type="firstColumnStripe" dxfId="13"/>
    </tableStyle>
  </tableStyles>
  <colors>
    <mruColors>
      <color rgb="FFE8EDEE"/>
      <color rgb="FF005EB8"/>
      <color rgb="FFDA291C"/>
      <color rgb="FFFFB81C"/>
      <color rgb="FFDDD9C4"/>
      <color rgb="FF768692"/>
      <color rgb="FF41B6E6"/>
      <color rgb="FFC1EEFF"/>
      <color rgb="FFD81E05"/>
      <color rgb="FF0091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B7-4689-A669-F2E63AD63B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B7-4689-A669-F2E63AD63B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B7-4689-A669-F2E63AD63BB6}"/>
              </c:ext>
            </c:extLst>
          </c:dPt>
          <c:val>
            <c:numRef>
              <c:f>Lookups!$Y$8:$AA$8</c:f>
              <c:numCache>
                <c:formatCode>General</c:formatCode>
                <c:ptCount val="3"/>
                <c:pt idx="0">
                  <c:v>6</c:v>
                </c:pt>
                <c:pt idx="1">
                  <c:v>3</c:v>
                </c:pt>
                <c:pt idx="2">
                  <c:v>7</c:v>
                </c:pt>
              </c:numCache>
            </c:numRef>
          </c:val>
          <c:extLst>
            <c:ext xmlns:c16="http://schemas.microsoft.com/office/drawing/2014/chart" uri="{C3380CC4-5D6E-409C-BE32-E72D297353CC}">
              <c16:uniqueId val="{00000003-C261-41C4-8B70-B34426E2141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444415900800627"/>
          <c:y val="0.22432447742593326"/>
          <c:w val="0.50329442465894558"/>
          <c:h val="0.68000090636152499"/>
        </c:manualLayout>
      </c:layout>
      <c:radarChart>
        <c:radarStyle val="marker"/>
        <c:varyColors val="0"/>
        <c:ser>
          <c:idx val="3"/>
          <c:order val="0"/>
          <c:tx>
            <c:strRef>
              <c:f>Feedback!$D$8</c:f>
              <c:strCache>
                <c:ptCount val="1"/>
                <c:pt idx="0">
                  <c:v>12/12/23</c:v>
                </c:pt>
              </c:strCache>
            </c:strRef>
          </c:tx>
          <c:spPr>
            <a:ln w="28575" cap="rnd">
              <a:solidFill>
                <a:srgbClr val="DA291C"/>
              </a:solidFill>
              <a:round/>
            </a:ln>
            <a:effectLst/>
          </c:spPr>
          <c:marker>
            <c:symbol val="none"/>
          </c:marker>
          <c:cat>
            <c:numRef>
              <c:f>Lookups!$E$8:$E$23</c:f>
              <c:numCache>
                <c:formatCode>@</c:formatCode>
                <c:ptCount val="16"/>
                <c:pt idx="0">
                  <c:v>1.1000000000000001</c:v>
                </c:pt>
                <c:pt idx="1">
                  <c:v>1.2</c:v>
                </c:pt>
                <c:pt idx="2">
                  <c:v>1.3</c:v>
                </c:pt>
                <c:pt idx="3">
                  <c:v>1.4</c:v>
                </c:pt>
                <c:pt idx="4">
                  <c:v>1.5</c:v>
                </c:pt>
                <c:pt idx="5">
                  <c:v>1.6</c:v>
                </c:pt>
                <c:pt idx="6" formatCode="General">
                  <c:v>2.1</c:v>
                </c:pt>
                <c:pt idx="7" formatCode="0.0">
                  <c:v>2.2000000000000002</c:v>
                </c:pt>
                <c:pt idx="8" formatCode="General">
                  <c:v>2.2999999999999998</c:v>
                </c:pt>
                <c:pt idx="9" formatCode="General">
                  <c:v>3.1</c:v>
                </c:pt>
                <c:pt idx="10" formatCode="General">
                  <c:v>3.2</c:v>
                </c:pt>
                <c:pt idx="11" formatCode="General">
                  <c:v>3.3</c:v>
                </c:pt>
                <c:pt idx="12" formatCode="General">
                  <c:v>3.4</c:v>
                </c:pt>
                <c:pt idx="13" formatCode="General">
                  <c:v>3.5</c:v>
                </c:pt>
                <c:pt idx="14" formatCode="General">
                  <c:v>3.6</c:v>
                </c:pt>
                <c:pt idx="15" formatCode="0.0">
                  <c:v>3.7</c:v>
                </c:pt>
              </c:numCache>
            </c:numRef>
          </c:cat>
          <c:val>
            <c:numRef>
              <c:f>Lookups!$L$8:$L$23</c:f>
              <c:numCache>
                <c:formatCode>General</c:formatCode>
                <c:ptCount val="16"/>
                <c:pt idx="0">
                  <c:v>4</c:v>
                </c:pt>
                <c:pt idx="1">
                  <c:v>4</c:v>
                </c:pt>
                <c:pt idx="2">
                  <c:v>4</c:v>
                </c:pt>
                <c:pt idx="3">
                  <c:v>3</c:v>
                </c:pt>
                <c:pt idx="4">
                  <c:v>1</c:v>
                </c:pt>
                <c:pt idx="5">
                  <c:v>3</c:v>
                </c:pt>
                <c:pt idx="6">
                  <c:v>4</c:v>
                </c:pt>
                <c:pt idx="7">
                  <c:v>4</c:v>
                </c:pt>
                <c:pt idx="8">
                  <c:v>4</c:v>
                </c:pt>
                <c:pt idx="9">
                  <c:v>4</c:v>
                </c:pt>
                <c:pt idx="10">
                  <c:v>2</c:v>
                </c:pt>
                <c:pt idx="11">
                  <c:v>3</c:v>
                </c:pt>
                <c:pt idx="12">
                  <c:v>2</c:v>
                </c:pt>
                <c:pt idx="13">
                  <c:v>3</c:v>
                </c:pt>
                <c:pt idx="14">
                  <c:v>3</c:v>
                </c:pt>
                <c:pt idx="15">
                  <c:v>3</c:v>
                </c:pt>
              </c:numCache>
            </c:numRef>
          </c:val>
          <c:extLst>
            <c:ext xmlns:c16="http://schemas.microsoft.com/office/drawing/2014/chart" uri="{C3380CC4-5D6E-409C-BE32-E72D297353CC}">
              <c16:uniqueId val="{00000000-A502-47D8-A439-A52284367A4E}"/>
            </c:ext>
          </c:extLst>
        </c:ser>
        <c:ser>
          <c:idx val="4"/>
          <c:order val="1"/>
          <c:tx>
            <c:v>Baseline</c:v>
          </c:tx>
          <c:spPr>
            <a:ln w="28575" cap="rnd">
              <a:solidFill>
                <a:srgbClr val="005EB8"/>
              </a:solidFill>
              <a:round/>
            </a:ln>
            <a:effectLst/>
          </c:spPr>
          <c:marker>
            <c:symbol val="none"/>
          </c:marker>
          <c:cat>
            <c:numRef>
              <c:f>Lookups!$E$8:$E$23</c:f>
              <c:numCache>
                <c:formatCode>@</c:formatCode>
                <c:ptCount val="16"/>
                <c:pt idx="0">
                  <c:v>1.1000000000000001</c:v>
                </c:pt>
                <c:pt idx="1">
                  <c:v>1.2</c:v>
                </c:pt>
                <c:pt idx="2">
                  <c:v>1.3</c:v>
                </c:pt>
                <c:pt idx="3">
                  <c:v>1.4</c:v>
                </c:pt>
                <c:pt idx="4">
                  <c:v>1.5</c:v>
                </c:pt>
                <c:pt idx="5">
                  <c:v>1.6</c:v>
                </c:pt>
                <c:pt idx="6" formatCode="General">
                  <c:v>2.1</c:v>
                </c:pt>
                <c:pt idx="7" formatCode="0.0">
                  <c:v>2.2000000000000002</c:v>
                </c:pt>
                <c:pt idx="8" formatCode="General">
                  <c:v>2.2999999999999998</c:v>
                </c:pt>
                <c:pt idx="9" formatCode="General">
                  <c:v>3.1</c:v>
                </c:pt>
                <c:pt idx="10" formatCode="General">
                  <c:v>3.2</c:v>
                </c:pt>
                <c:pt idx="11" formatCode="General">
                  <c:v>3.3</c:v>
                </c:pt>
                <c:pt idx="12" formatCode="General">
                  <c:v>3.4</c:v>
                </c:pt>
                <c:pt idx="13" formatCode="General">
                  <c:v>3.5</c:v>
                </c:pt>
                <c:pt idx="14" formatCode="General">
                  <c:v>3.6</c:v>
                </c:pt>
                <c:pt idx="15" formatCode="0.0">
                  <c:v>3.7</c:v>
                </c:pt>
              </c:numCache>
            </c:numRef>
          </c:cat>
          <c:val>
            <c:numRef>
              <c:f>Lookups!$H$8:$H$23</c:f>
              <c:numCache>
                <c:formatCode>General</c:formatCode>
                <c:ptCount val="16"/>
                <c:pt idx="0">
                  <c:v>4</c:v>
                </c:pt>
                <c:pt idx="1">
                  <c:v>2</c:v>
                </c:pt>
                <c:pt idx="2">
                  <c:v>1</c:v>
                </c:pt>
                <c:pt idx="3">
                  <c:v>1</c:v>
                </c:pt>
                <c:pt idx="4">
                  <c:v>2</c:v>
                </c:pt>
                <c:pt idx="5">
                  <c:v>1</c:v>
                </c:pt>
                <c:pt idx="6">
                  <c:v>4</c:v>
                </c:pt>
                <c:pt idx="7">
                  <c:v>2</c:v>
                </c:pt>
                <c:pt idx="8">
                  <c:v>4</c:v>
                </c:pt>
                <c:pt idx="9">
                  <c:v>4</c:v>
                </c:pt>
                <c:pt idx="10">
                  <c:v>3</c:v>
                </c:pt>
                <c:pt idx="11">
                  <c:v>1</c:v>
                </c:pt>
                <c:pt idx="12">
                  <c:v>1</c:v>
                </c:pt>
                <c:pt idx="13">
                  <c:v>1</c:v>
                </c:pt>
                <c:pt idx="14">
                  <c:v>1</c:v>
                </c:pt>
                <c:pt idx="15">
                  <c:v>1</c:v>
                </c:pt>
              </c:numCache>
            </c:numRef>
          </c:val>
          <c:extLst>
            <c:ext xmlns:c16="http://schemas.microsoft.com/office/drawing/2014/chart" uri="{C3380CC4-5D6E-409C-BE32-E72D297353CC}">
              <c16:uniqueId val="{00000001-A502-47D8-A439-A52284367A4E}"/>
            </c:ext>
          </c:extLst>
        </c:ser>
        <c:dLbls>
          <c:showLegendKey val="0"/>
          <c:showVal val="0"/>
          <c:showCatName val="0"/>
          <c:showSerName val="0"/>
          <c:showPercent val="0"/>
          <c:showBubbleSize val="0"/>
        </c:dLbls>
        <c:axId val="755831648"/>
        <c:axId val="755831976"/>
      </c:radarChart>
      <c:catAx>
        <c:axId val="755831648"/>
        <c:scaling>
          <c:orientation val="minMax"/>
        </c:scaling>
        <c:delete val="0"/>
        <c:axPos val="b"/>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755831976"/>
        <c:crosses val="autoZero"/>
        <c:auto val="1"/>
        <c:lblAlgn val="ctr"/>
        <c:lblOffset val="100"/>
        <c:noMultiLvlLbl val="0"/>
      </c:catAx>
      <c:valAx>
        <c:axId val="7558319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55831648"/>
        <c:crosses val="autoZero"/>
        <c:crossBetween val="between"/>
      </c:valAx>
      <c:spPr>
        <a:noFill/>
        <a:ln>
          <a:noFill/>
        </a:ln>
        <a:effectLst/>
      </c:spPr>
    </c:plotArea>
    <c:legend>
      <c:legendPos val="t"/>
      <c:layout>
        <c:manualLayout>
          <c:xMode val="edge"/>
          <c:yMode val="edge"/>
          <c:x val="0.18350069329644941"/>
          <c:y val="0.87442739328044194"/>
          <c:w val="0.70609495844625014"/>
          <c:h val="5.547023168866481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g"/><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13</xdr:col>
      <xdr:colOff>412750</xdr:colOff>
      <xdr:row>1</xdr:row>
      <xdr:rowOff>71494</xdr:rowOff>
    </xdr:from>
    <xdr:to>
      <xdr:col>14</xdr:col>
      <xdr:colOff>592667</xdr:colOff>
      <xdr:row>1</xdr:row>
      <xdr:rowOff>401400</xdr:rowOff>
    </xdr:to>
    <xdr:pic>
      <xdr:nvPicPr>
        <xdr:cNvPr id="3" name="Picture 2" descr="A picture containing clipart&#10;&#10;Description generated with very high confidenc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609542" y="251411"/>
          <a:ext cx="804333" cy="32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587904</xdr:colOff>
      <xdr:row>1</xdr:row>
      <xdr:rowOff>68319</xdr:rowOff>
    </xdr:from>
    <xdr:to>
      <xdr:col>11</xdr:col>
      <xdr:colOff>1388004</xdr:colOff>
      <xdr:row>1</xdr:row>
      <xdr:rowOff>393145</xdr:rowOff>
    </xdr:to>
    <xdr:pic>
      <xdr:nvPicPr>
        <xdr:cNvPr id="2" name="Picture 1" descr="A picture containing clipart&#10;&#10;Description generated with very high confidenc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585200" y="249294"/>
          <a:ext cx="802217" cy="3248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851747</xdr:colOff>
      <xdr:row>1</xdr:row>
      <xdr:rowOff>74083</xdr:rowOff>
    </xdr:from>
    <xdr:to>
      <xdr:col>6</xdr:col>
      <xdr:colOff>1650999</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EE200550-68A5-4A11-99AA-8ACA825D247C}"/>
            </a:ext>
          </a:extLst>
        </xdr:cNvPr>
        <xdr:cNvPicPr>
          <a:picLocks noChangeAspect="1"/>
        </xdr:cNvPicPr>
      </xdr:nvPicPr>
      <xdr:blipFill>
        <a:blip xmlns:r="http://schemas.openxmlformats.org/officeDocument/2006/relationships" r:embed="rId1"/>
        <a:stretch>
          <a:fillRect/>
        </a:stretch>
      </xdr:blipFill>
      <xdr:spPr>
        <a:xfrm>
          <a:off x="9521825" y="255058"/>
          <a:ext cx="792691" cy="3248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948055</xdr:colOff>
      <xdr:row>1</xdr:row>
      <xdr:rowOff>74083</xdr:rowOff>
    </xdr:from>
    <xdr:to>
      <xdr:col>6</xdr:col>
      <xdr:colOff>1755351</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1BD3DA0E-069A-4C27-9167-C18FB7BB5084}"/>
            </a:ext>
          </a:extLst>
        </xdr:cNvPr>
        <xdr:cNvPicPr>
          <a:picLocks noChangeAspect="1"/>
        </xdr:cNvPicPr>
      </xdr:nvPicPr>
      <xdr:blipFill>
        <a:blip xmlns:r="http://schemas.openxmlformats.org/officeDocument/2006/relationships" r:embed="rId1"/>
        <a:stretch>
          <a:fillRect/>
        </a:stretch>
      </xdr:blipFill>
      <xdr:spPr>
        <a:xfrm>
          <a:off x="9521825" y="255058"/>
          <a:ext cx="792691" cy="3248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952965</xdr:colOff>
      <xdr:row>1</xdr:row>
      <xdr:rowOff>74083</xdr:rowOff>
    </xdr:from>
    <xdr:to>
      <xdr:col>6</xdr:col>
      <xdr:colOff>1769151</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11F4584E-43DC-42FD-8F0A-AC768323C20F}"/>
            </a:ext>
          </a:extLst>
        </xdr:cNvPr>
        <xdr:cNvPicPr>
          <a:picLocks noChangeAspect="1"/>
        </xdr:cNvPicPr>
      </xdr:nvPicPr>
      <xdr:blipFill>
        <a:blip xmlns:r="http://schemas.openxmlformats.org/officeDocument/2006/relationships" r:embed="rId1"/>
        <a:stretch>
          <a:fillRect/>
        </a:stretch>
      </xdr:blipFill>
      <xdr:spPr>
        <a:xfrm>
          <a:off x="9521825" y="255058"/>
          <a:ext cx="792691" cy="3248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714158</xdr:colOff>
      <xdr:row>1</xdr:row>
      <xdr:rowOff>74083</xdr:rowOff>
    </xdr:from>
    <xdr:to>
      <xdr:col>5</xdr:col>
      <xdr:colOff>1469384</xdr:colOff>
      <xdr:row>1</xdr:row>
      <xdr:rowOff>402719</xdr:rowOff>
    </xdr:to>
    <xdr:pic>
      <xdr:nvPicPr>
        <xdr:cNvPr id="2" name="Picture 1" descr="A picture containing clipart&#10;&#10;Description generated with very high confidenc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9519710" y="254000"/>
          <a:ext cx="804333" cy="3248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254000</xdr:colOff>
      <xdr:row>6</xdr:row>
      <xdr:rowOff>311150</xdr:rowOff>
    </xdr:from>
    <xdr:to>
      <xdr:col>6</xdr:col>
      <xdr:colOff>412750</xdr:colOff>
      <xdr:row>22</xdr:row>
      <xdr:rowOff>63499</xdr:rowOff>
    </xdr:to>
    <xdr:graphicFrame macro="">
      <xdr:nvGraphicFramePr>
        <xdr:cNvPr id="18" name="Chart 5">
          <a:extLst>
            <a:ext uri="{FF2B5EF4-FFF2-40B4-BE49-F238E27FC236}">
              <a16:creationId xmlns:a16="http://schemas.microsoft.com/office/drawing/2014/main" id="{CEE7D713-33FF-4406-9F41-98966C8526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4251855</xdr:colOff>
      <xdr:row>1</xdr:row>
      <xdr:rowOff>74083</xdr:rowOff>
    </xdr:from>
    <xdr:to>
      <xdr:col>7</xdr:col>
      <xdr:colOff>35455</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2"/>
        <a:stretch>
          <a:fillRect/>
        </a:stretch>
      </xdr:blipFill>
      <xdr:spPr>
        <a:xfrm>
          <a:off x="9513889" y="251883"/>
          <a:ext cx="789516" cy="324826"/>
        </a:xfrm>
        <a:prstGeom prst="rect">
          <a:avLst/>
        </a:prstGeom>
      </xdr:spPr>
    </xdr:pic>
    <xdr:clientData/>
  </xdr:twoCellAnchor>
  <xdr:twoCellAnchor>
    <xdr:from>
      <xdr:col>4</xdr:col>
      <xdr:colOff>127001</xdr:colOff>
      <xdr:row>2</xdr:row>
      <xdr:rowOff>69850</xdr:rowOff>
    </xdr:from>
    <xdr:to>
      <xdr:col>6</xdr:col>
      <xdr:colOff>749300</xdr:colOff>
      <xdr:row>25</xdr:row>
      <xdr:rowOff>0</xdr:rowOff>
    </xdr:to>
    <xdr:graphicFrame macro="">
      <xdr:nvGraphicFramePr>
        <xdr:cNvPr id="23" name="Chart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3</xdr:col>
      <xdr:colOff>7387167</xdr:colOff>
      <xdr:row>1</xdr:row>
      <xdr:rowOff>74083</xdr:rowOff>
    </xdr:from>
    <xdr:to>
      <xdr:col>4</xdr:col>
      <xdr:colOff>29105</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9519180" y="255058"/>
          <a:ext cx="787400" cy="32482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7</xdr:col>
      <xdr:colOff>444500</xdr:colOff>
      <xdr:row>1</xdr:row>
      <xdr:rowOff>74083</xdr:rowOff>
    </xdr:from>
    <xdr:to>
      <xdr:col>9</xdr:col>
      <xdr:colOff>37041</xdr:colOff>
      <xdr:row>1</xdr:row>
      <xdr:rowOff>398909</xdr:rowOff>
    </xdr:to>
    <xdr:pic>
      <xdr:nvPicPr>
        <xdr:cNvPr id="2" name="Picture 1" descr="A picture containing clipart&#10;&#10;Description generated with very high confidence">
          <a:extLst>
            <a:ext uri="{FF2B5EF4-FFF2-40B4-BE49-F238E27FC236}">
              <a16:creationId xmlns:a16="http://schemas.microsoft.com/office/drawing/2014/main" id="{73340E2C-C0F0-4AFF-A70A-EC5960B50E63}"/>
            </a:ext>
          </a:extLst>
        </xdr:cNvPr>
        <xdr:cNvPicPr>
          <a:picLocks noChangeAspect="1"/>
        </xdr:cNvPicPr>
      </xdr:nvPicPr>
      <xdr:blipFill>
        <a:blip xmlns:r="http://schemas.openxmlformats.org/officeDocument/2006/relationships" r:embed="rId1"/>
        <a:stretch>
          <a:fillRect/>
        </a:stretch>
      </xdr:blipFill>
      <xdr:spPr>
        <a:xfrm>
          <a:off x="9512300" y="251883"/>
          <a:ext cx="786341" cy="32482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F314D-00BE-47E5-B544-5E980DCFE20B}" name="Table1" displayName="Table1" ref="B5:H21" totalsRowShown="0">
  <autoFilter ref="B5:H21" xr:uid="{07A98CAD-FD89-4966-A0E7-AFED3C8E522B}"/>
  <tableColumns count="7">
    <tableColumn id="1" xr3:uid="{B715920E-2A96-44BC-83E3-3A12FE06F8A4}" name="#" dataDxfId="12">
      <calculatedColumnFormula>Lookups!E8</calculatedColumnFormula>
    </tableColumn>
    <tableColumn id="2" xr3:uid="{6C99112D-3CD3-46D2-90E5-74F2FEB3033D}" name="Element" dataDxfId="11">
      <calculatedColumnFormula>VLOOKUP(B6,Lookups!$E$8:$F$62,2,FALSE)</calculatedColumnFormula>
    </tableColumn>
    <tableColumn id="4" xr3:uid="{E842D23D-E55F-49EE-BBA9-66DA96960239}" name="Current Score" dataDxfId="10">
      <calculatedColumnFormula>IF(ISNA(Lookups!L8),"",Lookups!N8)</calculatedColumnFormula>
    </tableColumn>
    <tableColumn id="3" xr3:uid="{99EF6663-4E8E-4F8D-B814-62A7FA4F622A}" name="Rough Improvement Ideas" dataDxfId="9">
      <calculatedColumnFormula>IF(Lookups!P8=0,"",Lookups!P8)</calculatedColumnFormula>
    </tableColumn>
    <tableColumn id="5" xr3:uid="{E59EDC03-8AFF-4D26-B35A-97EBFF3D78DC}" name="Action(s)" dataDxfId="8"/>
    <tableColumn id="6" xr3:uid="{D8F829CB-F23E-4A40-AA97-E88C4F87FACF}" name="Owner/Lead" dataDxfId="7"/>
    <tableColumn id="8" xr3:uid="{CD9C5F6A-B028-4FB2-8C25-F9E42B36FE05}" name="Due Date" dataDxfId="6"/>
  </tableColumns>
  <tableStyleInfo name="NHS" showFirstColumn="0" showLastColumn="0" showRowStripes="1" showColumnStripes="0"/>
</table>
</file>

<file path=xl/theme/theme1.xml><?xml version="1.0" encoding="utf-8"?>
<a:theme xmlns:a="http://schemas.openxmlformats.org/drawingml/2006/main" name="NHS">
  <a:themeElements>
    <a:clrScheme name="NHS">
      <a:dk1>
        <a:sysClr val="windowText" lastClr="000000"/>
      </a:dk1>
      <a:lt1>
        <a:sysClr val="window" lastClr="FFFFFF"/>
      </a:lt1>
      <a:dk2>
        <a:srgbClr val="003893"/>
      </a:dk2>
      <a:lt2>
        <a:srgbClr val="EEECE1"/>
      </a:lt2>
      <a:accent1>
        <a:srgbClr val="0091C9"/>
      </a:accent1>
      <a:accent2>
        <a:srgbClr val="D81E05"/>
      </a:accent2>
      <a:accent3>
        <a:srgbClr val="009E49"/>
      </a:accent3>
      <a:accent4>
        <a:srgbClr val="A00054"/>
      </a:accent4>
      <a:accent5>
        <a:srgbClr val="00ADC6"/>
      </a:accent5>
      <a:accent6>
        <a:srgbClr val="E28C05"/>
      </a:accent6>
      <a:hlink>
        <a:srgbClr val="003893"/>
      </a:hlink>
      <a:folHlink>
        <a:srgbClr val="A00054"/>
      </a:folHlink>
    </a:clrScheme>
    <a:fontScheme name="NH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emandandcapacityproject@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FX25"/>
  <sheetViews>
    <sheetView showGridLines="0" showRowColHeaders="0" tabSelected="1" zoomScale="85" zoomScaleNormal="85" zoomScaleSheetLayoutView="80" zoomScalePageLayoutView="40" workbookViewId="0">
      <selection activeCell="R18" sqref="R18"/>
    </sheetView>
  </sheetViews>
  <sheetFormatPr defaultColWidth="9" defaultRowHeight="14.25"/>
  <cols>
    <col min="1" max="1" width="9.125" style="1" customWidth="1"/>
    <col min="2" max="14" width="8.125" style="1" customWidth="1"/>
    <col min="15" max="15" width="8.625" style="1" customWidth="1"/>
    <col min="16" max="16384" width="9" style="1"/>
  </cols>
  <sheetData>
    <row r="1" spans="1:180">
      <c r="B1" s="2" t="s">
        <v>150</v>
      </c>
      <c r="C1" s="2" t="s">
        <v>0</v>
      </c>
      <c r="D1" s="2" t="s">
        <v>1</v>
      </c>
      <c r="E1" s="2" t="s">
        <v>2</v>
      </c>
      <c r="F1" s="2" t="s">
        <v>3</v>
      </c>
    </row>
    <row r="2" spans="1:180" ht="54" customHeight="1">
      <c r="A2" s="145" t="s">
        <v>138</v>
      </c>
      <c r="B2" s="146"/>
      <c r="C2" s="146"/>
      <c r="D2" s="146"/>
      <c r="E2" s="146"/>
      <c r="F2" s="146"/>
      <c r="G2" s="146"/>
      <c r="H2" s="146"/>
      <c r="I2" s="146"/>
      <c r="J2" s="146"/>
      <c r="K2" s="146"/>
      <c r="L2" s="146"/>
      <c r="M2" s="146"/>
      <c r="N2" s="146"/>
      <c r="O2" s="147"/>
    </row>
    <row r="3" spans="1:180" ht="23.25" customHeight="1">
      <c r="A3" s="142" t="s">
        <v>4</v>
      </c>
      <c r="B3" s="143"/>
      <c r="C3" s="143"/>
      <c r="D3" s="143"/>
      <c r="E3" s="143"/>
      <c r="F3" s="143"/>
      <c r="G3" s="143"/>
      <c r="H3" s="143"/>
      <c r="I3" s="143"/>
      <c r="J3" s="143"/>
      <c r="K3" s="143"/>
      <c r="L3" s="143"/>
      <c r="M3" s="143"/>
      <c r="N3" s="143"/>
      <c r="O3" s="144"/>
    </row>
    <row r="4" spans="1:180" ht="33" customHeight="1">
      <c r="A4" s="148" t="s">
        <v>149</v>
      </c>
      <c r="B4" s="149"/>
      <c r="C4" s="149"/>
      <c r="D4" s="149"/>
      <c r="E4" s="149"/>
      <c r="F4" s="149"/>
      <c r="G4" s="149"/>
      <c r="H4" s="149"/>
      <c r="I4" s="149"/>
      <c r="J4" s="149"/>
      <c r="K4" s="149"/>
      <c r="L4" s="149"/>
      <c r="M4" s="149"/>
      <c r="N4" s="149"/>
      <c r="O4" s="150"/>
    </row>
    <row r="5" spans="1:180" ht="28.5" customHeight="1">
      <c r="A5" s="148" t="s">
        <v>142</v>
      </c>
      <c r="B5" s="149"/>
      <c r="C5" s="149"/>
      <c r="D5" s="149"/>
      <c r="E5" s="149"/>
      <c r="F5" s="149"/>
      <c r="G5" s="149"/>
      <c r="H5" s="149"/>
      <c r="I5" s="149"/>
      <c r="J5" s="149"/>
      <c r="K5" s="149"/>
      <c r="L5" s="149"/>
      <c r="M5" s="149"/>
      <c r="N5" s="149"/>
      <c r="O5" s="150"/>
    </row>
    <row r="6" spans="1:180" ht="7.5" customHeight="1">
      <c r="A6" s="70"/>
      <c r="B6" s="71"/>
      <c r="C6" s="71"/>
      <c r="D6" s="71"/>
      <c r="E6" s="71"/>
      <c r="F6" s="71"/>
      <c r="G6" s="71"/>
      <c r="H6" s="71"/>
      <c r="I6" s="71"/>
      <c r="J6" s="71"/>
      <c r="K6" s="71"/>
      <c r="L6" s="71"/>
      <c r="M6" s="71"/>
      <c r="N6" s="71"/>
      <c r="O6" s="72"/>
    </row>
    <row r="7" spans="1:180" ht="23.25" customHeight="1">
      <c r="A7" s="142" t="s">
        <v>5</v>
      </c>
      <c r="B7" s="143"/>
      <c r="C7" s="143"/>
      <c r="D7" s="143"/>
      <c r="E7" s="143"/>
      <c r="F7" s="143"/>
      <c r="G7" s="143"/>
      <c r="H7" s="143"/>
      <c r="I7" s="143"/>
      <c r="J7" s="143"/>
      <c r="K7" s="143"/>
      <c r="L7" s="143"/>
      <c r="M7" s="143"/>
      <c r="N7" s="143"/>
      <c r="O7" s="144"/>
    </row>
    <row r="8" spans="1:180" ht="31.9" customHeight="1">
      <c r="A8" s="136" t="str">
        <f>ToolName &amp; " is aimed at any system looking to understand their level of maturity in undertaking demand and capacity modelling."</f>
        <v>NHSE England Demand and Capacity Planning Roadmap and Maturity Tool is aimed at any system looking to understand their level of maturity in undertaking demand and capacity modelling.</v>
      </c>
      <c r="B8" s="137"/>
      <c r="C8" s="137"/>
      <c r="D8" s="137"/>
      <c r="E8" s="137"/>
      <c r="F8" s="137"/>
      <c r="G8" s="137"/>
      <c r="H8" s="137"/>
      <c r="I8" s="137"/>
      <c r="J8" s="137"/>
      <c r="K8" s="137"/>
      <c r="L8" s="137"/>
      <c r="M8" s="137"/>
      <c r="N8" s="137"/>
      <c r="O8" s="138"/>
      <c r="P8" s="110"/>
      <c r="Q8" s="134"/>
      <c r="R8" s="134"/>
      <c r="S8" s="134"/>
      <c r="T8" s="134"/>
      <c r="U8" s="134"/>
      <c r="V8" s="134"/>
      <c r="W8" s="134"/>
      <c r="X8" s="134"/>
      <c r="Y8" s="134"/>
      <c r="Z8" s="134"/>
      <c r="AA8" s="134"/>
      <c r="AB8" s="134"/>
      <c r="AC8" s="135"/>
      <c r="AD8" s="133"/>
      <c r="AE8" s="134"/>
      <c r="AF8" s="134"/>
      <c r="AG8" s="134"/>
      <c r="AH8" s="134"/>
      <c r="AI8" s="134"/>
      <c r="AJ8" s="134"/>
      <c r="AK8" s="134"/>
      <c r="AL8" s="134"/>
      <c r="AM8" s="134"/>
      <c r="AN8" s="134"/>
      <c r="AO8" s="134"/>
      <c r="AP8" s="134"/>
      <c r="AQ8" s="134"/>
      <c r="AR8" s="135"/>
      <c r="AS8" s="133"/>
      <c r="AT8" s="134"/>
      <c r="AU8" s="134"/>
      <c r="AV8" s="134"/>
      <c r="AW8" s="134"/>
      <c r="AX8" s="134"/>
      <c r="AY8" s="134"/>
      <c r="AZ8" s="134"/>
      <c r="BA8" s="134"/>
      <c r="BB8" s="134"/>
      <c r="BC8" s="134"/>
      <c r="BD8" s="134"/>
      <c r="BE8" s="134"/>
      <c r="BF8" s="134"/>
      <c r="BG8" s="135"/>
      <c r="BH8" s="133"/>
      <c r="BI8" s="134"/>
      <c r="BJ8" s="134"/>
      <c r="BK8" s="134"/>
      <c r="BL8" s="134"/>
      <c r="BM8" s="134"/>
      <c r="BN8" s="134"/>
      <c r="BO8" s="134"/>
      <c r="BP8" s="134"/>
      <c r="BQ8" s="134"/>
      <c r="BR8" s="134"/>
      <c r="BS8" s="134"/>
      <c r="BT8" s="134"/>
      <c r="BU8" s="134"/>
      <c r="BV8" s="135"/>
      <c r="BW8" s="133"/>
      <c r="BX8" s="134"/>
      <c r="BY8" s="134"/>
      <c r="BZ8" s="134"/>
      <c r="CA8" s="134"/>
      <c r="CB8" s="134"/>
      <c r="CC8" s="134"/>
      <c r="CD8" s="134"/>
      <c r="CE8" s="134"/>
      <c r="CF8" s="134"/>
      <c r="CG8" s="134"/>
      <c r="CH8" s="134"/>
      <c r="CI8" s="134"/>
      <c r="CJ8" s="134"/>
      <c r="CK8" s="135"/>
      <c r="CL8" s="133"/>
      <c r="CM8" s="134"/>
      <c r="CN8" s="134"/>
      <c r="CO8" s="134"/>
      <c r="CP8" s="134"/>
      <c r="CQ8" s="134"/>
      <c r="CR8" s="134"/>
      <c r="CS8" s="134"/>
      <c r="CT8" s="134"/>
      <c r="CU8" s="134"/>
      <c r="CV8" s="134"/>
      <c r="CW8" s="134"/>
      <c r="CX8" s="134"/>
      <c r="CY8" s="134"/>
      <c r="CZ8" s="135"/>
      <c r="DA8" s="133"/>
      <c r="DB8" s="134"/>
      <c r="DC8" s="134"/>
      <c r="DD8" s="134"/>
      <c r="DE8" s="134"/>
      <c r="DF8" s="134"/>
      <c r="DG8" s="134"/>
      <c r="DH8" s="134"/>
      <c r="DI8" s="134"/>
      <c r="DJ8" s="134"/>
      <c r="DK8" s="134"/>
      <c r="DL8" s="134"/>
      <c r="DM8" s="134"/>
      <c r="DN8" s="134"/>
      <c r="DO8" s="135"/>
      <c r="DP8" s="133"/>
      <c r="DQ8" s="134"/>
      <c r="DR8" s="134"/>
      <c r="DS8" s="134"/>
      <c r="DT8" s="134"/>
      <c r="DU8" s="134"/>
      <c r="DV8" s="134"/>
      <c r="DW8" s="134"/>
      <c r="DX8" s="134"/>
      <c r="DY8" s="134"/>
      <c r="DZ8" s="134"/>
      <c r="EA8" s="134"/>
      <c r="EB8" s="134"/>
      <c r="EC8" s="134"/>
      <c r="ED8" s="135"/>
      <c r="EE8" s="133"/>
      <c r="EF8" s="134"/>
      <c r="EG8" s="134"/>
      <c r="EH8" s="134"/>
      <c r="EI8" s="134"/>
      <c r="EJ8" s="134"/>
      <c r="EK8" s="134"/>
      <c r="EL8" s="134"/>
      <c r="EM8" s="134"/>
      <c r="EN8" s="134"/>
      <c r="EO8" s="134"/>
      <c r="EP8" s="134"/>
      <c r="EQ8" s="134"/>
      <c r="ER8" s="134"/>
      <c r="ES8" s="135"/>
      <c r="ET8" s="133"/>
      <c r="EU8" s="134"/>
      <c r="EV8" s="134"/>
      <c r="EW8" s="134"/>
      <c r="EX8" s="134"/>
      <c r="EY8" s="134"/>
      <c r="EZ8" s="134"/>
      <c r="FA8" s="134"/>
      <c r="FB8" s="134"/>
      <c r="FC8" s="134"/>
      <c r="FD8" s="134"/>
      <c r="FE8" s="134"/>
      <c r="FF8" s="134"/>
      <c r="FG8" s="134"/>
      <c r="FH8" s="135"/>
      <c r="FI8" s="133"/>
      <c r="FJ8" s="134"/>
      <c r="FK8" s="134"/>
      <c r="FL8" s="134"/>
      <c r="FM8" s="134"/>
      <c r="FN8" s="134"/>
      <c r="FO8" s="134"/>
      <c r="FP8" s="134"/>
      <c r="FQ8" s="134"/>
      <c r="FR8" s="134"/>
      <c r="FS8" s="134"/>
      <c r="FT8" s="134"/>
      <c r="FU8" s="134"/>
      <c r="FV8" s="134"/>
      <c r="FW8" s="135"/>
      <c r="FX8" s="109"/>
    </row>
    <row r="9" spans="1:180" ht="44.25" customHeight="1">
      <c r="A9" s="136" t="s">
        <v>133</v>
      </c>
      <c r="B9" s="137"/>
      <c r="C9" s="137"/>
      <c r="D9" s="137"/>
      <c r="E9" s="137"/>
      <c r="F9" s="137"/>
      <c r="G9" s="137"/>
      <c r="H9" s="137"/>
      <c r="I9" s="137"/>
      <c r="J9" s="137"/>
      <c r="K9" s="137"/>
      <c r="L9" s="137"/>
      <c r="M9" s="137"/>
      <c r="N9" s="137"/>
      <c r="O9" s="138"/>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0"/>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H9" s="110"/>
      <c r="DI9" s="110"/>
      <c r="DJ9" s="110"/>
      <c r="DK9" s="110"/>
      <c r="DL9" s="110"/>
      <c r="DM9" s="110"/>
      <c r="DN9" s="110"/>
      <c r="DO9" s="110"/>
      <c r="DP9" s="110"/>
      <c r="DQ9" s="110"/>
      <c r="DR9" s="110"/>
      <c r="DS9" s="110"/>
      <c r="DT9" s="110"/>
      <c r="DU9" s="110"/>
      <c r="DV9" s="110"/>
      <c r="DW9" s="110"/>
      <c r="DX9" s="110"/>
      <c r="DY9" s="110"/>
      <c r="DZ9" s="110"/>
      <c r="EA9" s="110"/>
      <c r="EB9" s="110"/>
      <c r="EC9" s="110"/>
      <c r="ED9" s="110"/>
      <c r="EE9" s="110"/>
      <c r="EF9" s="110"/>
      <c r="EG9" s="110"/>
      <c r="EH9" s="110"/>
      <c r="EI9" s="110"/>
      <c r="EJ9" s="110"/>
      <c r="EK9" s="110"/>
      <c r="EL9" s="110"/>
      <c r="EM9" s="110"/>
      <c r="EN9" s="110"/>
      <c r="EO9" s="110"/>
      <c r="EP9" s="110"/>
      <c r="EQ9" s="110"/>
      <c r="ER9" s="110"/>
      <c r="ES9" s="110"/>
      <c r="ET9" s="110"/>
      <c r="EU9" s="110"/>
      <c r="EV9" s="110"/>
      <c r="EW9" s="110"/>
      <c r="EX9" s="110"/>
      <c r="EY9" s="110"/>
      <c r="EZ9" s="110"/>
      <c r="FA9" s="110"/>
      <c r="FB9" s="110"/>
      <c r="FC9" s="110"/>
      <c r="FD9" s="110"/>
      <c r="FE9" s="110"/>
      <c r="FF9" s="110"/>
      <c r="FG9" s="110"/>
      <c r="FH9" s="110"/>
      <c r="FI9" s="110"/>
      <c r="FJ9" s="110"/>
      <c r="FK9" s="110"/>
      <c r="FL9" s="110"/>
      <c r="FM9" s="110"/>
      <c r="FN9" s="110"/>
      <c r="FO9" s="110"/>
      <c r="FP9" s="110"/>
      <c r="FQ9" s="110"/>
      <c r="FR9" s="110"/>
      <c r="FS9" s="110"/>
      <c r="FT9" s="110"/>
      <c r="FU9" s="110"/>
      <c r="FV9" s="110"/>
      <c r="FW9" s="110"/>
      <c r="FX9" s="110"/>
    </row>
    <row r="10" spans="1:180" ht="7.5" customHeight="1">
      <c r="A10" s="136"/>
      <c r="B10" s="137"/>
      <c r="C10" s="137"/>
      <c r="D10" s="137"/>
      <c r="E10" s="137"/>
      <c r="F10" s="137"/>
      <c r="G10" s="137"/>
      <c r="H10" s="137"/>
      <c r="I10" s="137"/>
      <c r="J10" s="137"/>
      <c r="K10" s="137"/>
      <c r="L10" s="137"/>
      <c r="M10" s="137"/>
      <c r="N10" s="137"/>
      <c r="O10" s="138"/>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H10" s="110"/>
      <c r="DI10" s="110"/>
      <c r="DJ10" s="110"/>
      <c r="DK10" s="110"/>
      <c r="DL10" s="110"/>
      <c r="DM10" s="110"/>
      <c r="DN10" s="110"/>
      <c r="DO10" s="110"/>
      <c r="DP10" s="110"/>
      <c r="DQ10" s="110"/>
      <c r="DR10" s="110"/>
      <c r="DS10" s="110"/>
      <c r="DT10" s="110"/>
      <c r="DU10" s="110"/>
      <c r="DV10" s="110"/>
      <c r="DW10" s="110"/>
      <c r="DX10" s="110"/>
      <c r="DY10" s="110"/>
      <c r="DZ10" s="110"/>
      <c r="EA10" s="110"/>
      <c r="EB10" s="110"/>
      <c r="EC10" s="110"/>
      <c r="ED10" s="110"/>
      <c r="EE10" s="110"/>
      <c r="EF10" s="110"/>
      <c r="EG10" s="110"/>
      <c r="EH10" s="110"/>
      <c r="EI10" s="110"/>
      <c r="EJ10" s="110"/>
      <c r="EK10" s="110"/>
      <c r="EL10" s="110"/>
      <c r="EM10" s="110"/>
      <c r="EN10" s="110"/>
      <c r="EO10" s="110"/>
      <c r="EP10" s="110"/>
      <c r="EQ10" s="110"/>
      <c r="ER10" s="110"/>
      <c r="ES10" s="110"/>
      <c r="ET10" s="110"/>
      <c r="EU10" s="110"/>
      <c r="EV10" s="110"/>
      <c r="EW10" s="110"/>
      <c r="EX10" s="110"/>
      <c r="EY10" s="110"/>
      <c r="EZ10" s="110"/>
      <c r="FA10" s="110"/>
      <c r="FB10" s="110"/>
      <c r="FC10" s="110"/>
      <c r="FD10" s="110"/>
      <c r="FE10" s="110"/>
      <c r="FF10" s="110"/>
      <c r="FG10" s="110"/>
      <c r="FH10" s="110"/>
      <c r="FI10" s="110"/>
      <c r="FJ10" s="110"/>
      <c r="FK10" s="110"/>
      <c r="FL10" s="110"/>
      <c r="FM10" s="110"/>
      <c r="FN10" s="110"/>
      <c r="FO10" s="110"/>
      <c r="FP10" s="110"/>
      <c r="FQ10" s="110"/>
      <c r="FR10" s="110"/>
      <c r="FS10" s="110"/>
      <c r="FT10" s="110"/>
      <c r="FU10" s="110"/>
      <c r="FV10" s="110"/>
      <c r="FW10" s="110"/>
      <c r="FX10" s="110"/>
    </row>
    <row r="11" spans="1:180" ht="23.25" customHeight="1">
      <c r="A11" s="142" t="s">
        <v>6</v>
      </c>
      <c r="B11" s="143"/>
      <c r="C11" s="143"/>
      <c r="D11" s="143"/>
      <c r="E11" s="143"/>
      <c r="F11" s="143"/>
      <c r="G11" s="143"/>
      <c r="H11" s="143"/>
      <c r="I11" s="143"/>
      <c r="J11" s="143"/>
      <c r="K11" s="143"/>
      <c r="L11" s="143"/>
      <c r="M11" s="143"/>
      <c r="N11" s="143"/>
      <c r="O11" s="144"/>
    </row>
    <row r="12" spans="1:180" ht="15" customHeight="1">
      <c r="A12" s="136" t="s">
        <v>144</v>
      </c>
      <c r="B12" s="137"/>
      <c r="C12" s="137"/>
      <c r="D12" s="137"/>
      <c r="E12" s="137"/>
      <c r="F12" s="137"/>
      <c r="G12" s="137"/>
      <c r="H12" s="137"/>
      <c r="I12" s="137"/>
      <c r="J12" s="137"/>
      <c r="K12" s="137"/>
      <c r="L12" s="137"/>
      <c r="M12" s="137"/>
      <c r="N12" s="137"/>
      <c r="O12" s="138"/>
      <c r="P12" s="110"/>
      <c r="Q12" s="134"/>
      <c r="R12" s="134"/>
      <c r="S12" s="134"/>
      <c r="T12" s="134"/>
      <c r="U12" s="134"/>
      <c r="V12" s="134"/>
      <c r="W12" s="134"/>
      <c r="X12" s="134"/>
      <c r="Y12" s="134"/>
      <c r="Z12" s="134"/>
      <c r="AA12" s="134"/>
      <c r="AB12" s="134"/>
      <c r="AC12" s="135"/>
      <c r="AD12" s="133"/>
      <c r="AE12" s="134"/>
      <c r="AF12" s="134"/>
      <c r="AG12" s="134"/>
      <c r="AH12" s="134"/>
      <c r="AI12" s="134"/>
      <c r="AJ12" s="134"/>
      <c r="AK12" s="134"/>
      <c r="AL12" s="134"/>
      <c r="AM12" s="134"/>
      <c r="AN12" s="134"/>
      <c r="AO12" s="134"/>
      <c r="AP12" s="134"/>
      <c r="AQ12" s="134"/>
      <c r="AR12" s="135"/>
      <c r="AS12" s="133"/>
      <c r="AT12" s="134"/>
      <c r="AU12" s="134"/>
      <c r="AV12" s="134"/>
      <c r="AW12" s="134"/>
      <c r="AX12" s="134"/>
      <c r="AY12" s="134"/>
      <c r="AZ12" s="134"/>
      <c r="BA12" s="134"/>
      <c r="BB12" s="134"/>
      <c r="BC12" s="134"/>
      <c r="BD12" s="134"/>
      <c r="BE12" s="134"/>
      <c r="BF12" s="134"/>
      <c r="BG12" s="135"/>
      <c r="BH12" s="133"/>
      <c r="BI12" s="134"/>
      <c r="BJ12" s="134"/>
      <c r="BK12" s="134"/>
      <c r="BL12" s="134"/>
      <c r="BM12" s="134"/>
      <c r="BN12" s="134"/>
      <c r="BO12" s="134"/>
      <c r="BP12" s="134"/>
      <c r="BQ12" s="134"/>
      <c r="BR12" s="134"/>
      <c r="BS12" s="134"/>
      <c r="BT12" s="134"/>
      <c r="BU12" s="134"/>
      <c r="BV12" s="135"/>
      <c r="BW12" s="133"/>
      <c r="BX12" s="134"/>
      <c r="BY12" s="134"/>
      <c r="BZ12" s="134"/>
      <c r="CA12" s="134"/>
      <c r="CB12" s="134"/>
      <c r="CC12" s="134"/>
      <c r="CD12" s="134"/>
      <c r="CE12" s="134"/>
      <c r="CF12" s="134"/>
      <c r="CG12" s="134"/>
      <c r="CH12" s="134"/>
      <c r="CI12" s="134"/>
      <c r="CJ12" s="134"/>
      <c r="CK12" s="135"/>
      <c r="CL12" s="133"/>
      <c r="CM12" s="134"/>
      <c r="CN12" s="134"/>
      <c r="CO12" s="134"/>
      <c r="CP12" s="134"/>
      <c r="CQ12" s="134"/>
      <c r="CR12" s="134"/>
      <c r="CS12" s="134"/>
      <c r="CT12" s="134"/>
      <c r="CU12" s="134"/>
      <c r="CV12" s="134"/>
      <c r="CW12" s="134"/>
      <c r="CX12" s="134"/>
      <c r="CY12" s="134"/>
      <c r="CZ12" s="135"/>
      <c r="DA12" s="133"/>
      <c r="DB12" s="134"/>
      <c r="DC12" s="134"/>
      <c r="DD12" s="134"/>
      <c r="DE12" s="134"/>
      <c r="DF12" s="134"/>
      <c r="DG12" s="134"/>
      <c r="DH12" s="134"/>
      <c r="DI12" s="134"/>
      <c r="DJ12" s="134"/>
      <c r="DK12" s="134"/>
      <c r="DL12" s="134"/>
      <c r="DM12" s="134"/>
      <c r="DN12" s="134"/>
      <c r="DO12" s="135"/>
      <c r="DP12" s="133"/>
      <c r="DQ12" s="134"/>
      <c r="DR12" s="134"/>
      <c r="DS12" s="134"/>
      <c r="DT12" s="134"/>
      <c r="DU12" s="134"/>
      <c r="DV12" s="134"/>
      <c r="DW12" s="134"/>
      <c r="DX12" s="134"/>
      <c r="DY12" s="134"/>
      <c r="DZ12" s="134"/>
      <c r="EA12" s="134"/>
      <c r="EB12" s="134"/>
      <c r="EC12" s="134"/>
      <c r="ED12" s="135"/>
      <c r="EE12" s="133"/>
      <c r="EF12" s="134"/>
      <c r="EG12" s="134"/>
      <c r="EH12" s="134"/>
      <c r="EI12" s="134"/>
      <c r="EJ12" s="134"/>
      <c r="EK12" s="134"/>
      <c r="EL12" s="134"/>
      <c r="EM12" s="134"/>
      <c r="EN12" s="134"/>
      <c r="EO12" s="134"/>
      <c r="EP12" s="134"/>
      <c r="EQ12" s="134"/>
      <c r="ER12" s="134"/>
      <c r="ES12" s="135"/>
      <c r="ET12" s="133"/>
      <c r="EU12" s="134"/>
      <c r="EV12" s="134"/>
      <c r="EW12" s="134"/>
      <c r="EX12" s="134"/>
      <c r="EY12" s="134"/>
      <c r="EZ12" s="134"/>
      <c r="FA12" s="134"/>
      <c r="FB12" s="134"/>
      <c r="FC12" s="134"/>
      <c r="FD12" s="134"/>
      <c r="FE12" s="134"/>
      <c r="FF12" s="134"/>
      <c r="FG12" s="134"/>
      <c r="FH12" s="135"/>
      <c r="FI12" s="133"/>
      <c r="FJ12" s="134"/>
      <c r="FK12" s="134"/>
      <c r="FL12" s="134"/>
      <c r="FM12" s="134"/>
      <c r="FN12" s="134"/>
      <c r="FO12" s="134"/>
      <c r="FP12" s="134"/>
      <c r="FQ12" s="134"/>
      <c r="FR12" s="134"/>
      <c r="FS12" s="134"/>
      <c r="FT12" s="134"/>
      <c r="FU12" s="134"/>
      <c r="FV12" s="134"/>
      <c r="FW12" s="135"/>
      <c r="FX12" s="109"/>
    </row>
    <row r="13" spans="1:180" ht="15.6" customHeight="1">
      <c r="A13" s="136"/>
      <c r="B13" s="137"/>
      <c r="C13" s="137"/>
      <c r="D13" s="137"/>
      <c r="E13" s="137"/>
      <c r="F13" s="137"/>
      <c r="G13" s="137"/>
      <c r="H13" s="137"/>
      <c r="I13" s="137"/>
      <c r="J13" s="137"/>
      <c r="K13" s="137"/>
      <c r="L13" s="137"/>
      <c r="M13" s="137"/>
      <c r="N13" s="137"/>
      <c r="O13" s="138"/>
    </row>
    <row r="14" spans="1:180" ht="31.5" customHeight="1">
      <c r="A14" s="136" t="s">
        <v>147</v>
      </c>
      <c r="B14" s="137"/>
      <c r="C14" s="137"/>
      <c r="D14" s="137"/>
      <c r="E14" s="137"/>
      <c r="F14" s="137"/>
      <c r="G14" s="137"/>
      <c r="H14" s="137"/>
      <c r="I14" s="137"/>
      <c r="J14" s="137"/>
      <c r="K14" s="137"/>
      <c r="L14" s="137"/>
      <c r="M14" s="137"/>
      <c r="N14" s="137"/>
      <c r="O14" s="138"/>
    </row>
    <row r="15" spans="1:180">
      <c r="A15" s="136" t="s">
        <v>143</v>
      </c>
      <c r="B15" s="137"/>
      <c r="C15" s="137"/>
      <c r="D15" s="137"/>
      <c r="E15" s="137"/>
      <c r="F15" s="137"/>
      <c r="G15" s="137"/>
      <c r="H15" s="137"/>
      <c r="I15" s="137"/>
      <c r="J15" s="137"/>
      <c r="K15" s="137"/>
      <c r="L15" s="137"/>
      <c r="M15" s="137"/>
      <c r="N15" s="137"/>
      <c r="O15" s="138"/>
    </row>
    <row r="16" spans="1:180" ht="7.5" customHeight="1">
      <c r="A16" s="43"/>
      <c r="B16" s="5"/>
      <c r="C16" s="5"/>
      <c r="D16" s="5"/>
      <c r="E16" s="5"/>
      <c r="F16" s="5"/>
      <c r="G16" s="5"/>
      <c r="H16" s="5"/>
      <c r="I16" s="5"/>
      <c r="J16" s="5"/>
      <c r="K16" s="5"/>
      <c r="L16" s="5"/>
      <c r="M16" s="5"/>
      <c r="N16" s="5"/>
      <c r="O16" s="42"/>
    </row>
    <row r="17" spans="1:180" ht="23.25" customHeight="1">
      <c r="A17" s="142" t="s">
        <v>7</v>
      </c>
      <c r="B17" s="143"/>
      <c r="C17" s="143"/>
      <c r="D17" s="143"/>
      <c r="E17" s="143"/>
      <c r="F17" s="143"/>
      <c r="G17" s="143"/>
      <c r="H17" s="143"/>
      <c r="I17" s="143"/>
      <c r="J17" s="143"/>
      <c r="K17" s="143"/>
      <c r="L17" s="143"/>
      <c r="M17" s="143"/>
      <c r="N17" s="143"/>
      <c r="O17" s="144"/>
    </row>
    <row r="18" spans="1:180" ht="43.15" customHeight="1">
      <c r="A18" s="136" t="s">
        <v>146</v>
      </c>
      <c r="B18" s="137"/>
      <c r="C18" s="137"/>
      <c r="D18" s="137"/>
      <c r="E18" s="137"/>
      <c r="F18" s="137"/>
      <c r="G18" s="137"/>
      <c r="H18" s="137"/>
      <c r="I18" s="137"/>
      <c r="J18" s="137"/>
      <c r="K18" s="137"/>
      <c r="L18" s="137"/>
      <c r="M18" s="137"/>
      <c r="N18" s="137"/>
      <c r="O18" s="138"/>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c r="FQ18" s="110"/>
      <c r="FR18" s="110"/>
      <c r="FS18" s="110"/>
      <c r="FT18" s="110"/>
      <c r="FU18" s="110"/>
      <c r="FV18" s="110"/>
      <c r="FW18" s="110"/>
      <c r="FX18" s="110"/>
    </row>
    <row r="19" spans="1:180" ht="7.5" customHeight="1">
      <c r="A19" s="139"/>
      <c r="B19" s="140"/>
      <c r="C19" s="140"/>
      <c r="D19" s="140"/>
      <c r="E19" s="140"/>
      <c r="F19" s="140"/>
      <c r="G19" s="140"/>
      <c r="H19" s="140"/>
      <c r="I19" s="140"/>
      <c r="J19" s="140"/>
      <c r="K19" s="140"/>
      <c r="L19" s="140"/>
      <c r="M19" s="140"/>
      <c r="N19" s="140"/>
      <c r="O19" s="141"/>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c r="FQ19" s="110"/>
      <c r="FR19" s="110"/>
      <c r="FS19" s="110"/>
      <c r="FT19" s="110"/>
      <c r="FU19" s="110"/>
      <c r="FV19" s="110"/>
      <c r="FW19" s="110"/>
      <c r="FX19" s="110"/>
    </row>
    <row r="20" spans="1:180" ht="23.25" customHeight="1">
      <c r="A20" s="142" t="s">
        <v>8</v>
      </c>
      <c r="B20" s="143"/>
      <c r="C20" s="143"/>
      <c r="D20" s="143"/>
      <c r="E20" s="143"/>
      <c r="F20" s="143"/>
      <c r="G20" s="143"/>
      <c r="H20" s="143"/>
      <c r="I20" s="143"/>
      <c r="J20" s="143"/>
      <c r="K20" s="143"/>
      <c r="L20" s="143"/>
      <c r="M20" s="143"/>
      <c r="N20" s="143"/>
      <c r="O20" s="144"/>
    </row>
    <row r="21" spans="1:180" ht="15" customHeight="1">
      <c r="A21" s="136" t="s">
        <v>145</v>
      </c>
      <c r="B21" s="137"/>
      <c r="C21" s="137"/>
      <c r="D21" s="137"/>
      <c r="E21" s="137"/>
      <c r="F21" s="137"/>
      <c r="G21" s="137"/>
      <c r="H21" s="137"/>
      <c r="I21" s="137"/>
      <c r="J21" s="137"/>
      <c r="K21" s="137"/>
      <c r="L21" s="137"/>
      <c r="M21" s="137"/>
      <c r="N21" s="137"/>
      <c r="O21" s="138"/>
      <c r="P21" s="110"/>
      <c r="Q21" s="134"/>
      <c r="R21" s="134"/>
      <c r="S21" s="134"/>
      <c r="T21" s="134"/>
      <c r="U21" s="134"/>
      <c r="V21" s="134"/>
      <c r="W21" s="134"/>
      <c r="X21" s="134"/>
      <c r="Y21" s="134"/>
      <c r="Z21" s="134"/>
      <c r="AA21" s="134"/>
      <c r="AB21" s="134"/>
      <c r="AC21" s="135"/>
      <c r="AD21" s="133"/>
      <c r="AE21" s="134"/>
      <c r="AF21" s="134"/>
      <c r="AG21" s="134"/>
      <c r="AH21" s="134"/>
      <c r="AI21" s="134"/>
      <c r="AJ21" s="134"/>
      <c r="AK21" s="134"/>
      <c r="AL21" s="134"/>
      <c r="AM21" s="134"/>
      <c r="AN21" s="134"/>
      <c r="AO21" s="134"/>
      <c r="AP21" s="134"/>
      <c r="AQ21" s="134"/>
      <c r="AR21" s="135"/>
      <c r="AS21" s="133"/>
      <c r="AT21" s="134"/>
      <c r="AU21" s="134"/>
      <c r="AV21" s="134"/>
      <c r="AW21" s="134"/>
      <c r="AX21" s="134"/>
      <c r="AY21" s="134"/>
      <c r="AZ21" s="134"/>
      <c r="BA21" s="134"/>
      <c r="BB21" s="134"/>
      <c r="BC21" s="134"/>
      <c r="BD21" s="134"/>
      <c r="BE21" s="134"/>
      <c r="BF21" s="134"/>
      <c r="BG21" s="135"/>
      <c r="BH21" s="133"/>
      <c r="BI21" s="134"/>
      <c r="BJ21" s="134"/>
      <c r="BK21" s="134"/>
      <c r="BL21" s="134"/>
      <c r="BM21" s="134"/>
      <c r="BN21" s="134"/>
      <c r="BO21" s="134"/>
      <c r="BP21" s="134"/>
      <c r="BQ21" s="134"/>
      <c r="BR21" s="134"/>
      <c r="BS21" s="134"/>
      <c r="BT21" s="134"/>
      <c r="BU21" s="134"/>
      <c r="BV21" s="135"/>
      <c r="BW21" s="133"/>
      <c r="BX21" s="134"/>
      <c r="BY21" s="134"/>
      <c r="BZ21" s="134"/>
      <c r="CA21" s="134"/>
      <c r="CB21" s="134"/>
      <c r="CC21" s="134"/>
      <c r="CD21" s="134"/>
      <c r="CE21" s="134"/>
      <c r="CF21" s="134"/>
      <c r="CG21" s="134"/>
      <c r="CH21" s="134"/>
      <c r="CI21" s="134"/>
      <c r="CJ21" s="134"/>
      <c r="CK21" s="135"/>
      <c r="CL21" s="133"/>
      <c r="CM21" s="134"/>
      <c r="CN21" s="134"/>
      <c r="CO21" s="134"/>
      <c r="CP21" s="134"/>
      <c r="CQ21" s="134"/>
      <c r="CR21" s="134"/>
      <c r="CS21" s="134"/>
      <c r="CT21" s="134"/>
      <c r="CU21" s="134"/>
      <c r="CV21" s="134"/>
      <c r="CW21" s="134"/>
      <c r="CX21" s="134"/>
      <c r="CY21" s="134"/>
      <c r="CZ21" s="135"/>
      <c r="DA21" s="133"/>
      <c r="DB21" s="134"/>
      <c r="DC21" s="134"/>
      <c r="DD21" s="134"/>
      <c r="DE21" s="134"/>
      <c r="DF21" s="134"/>
      <c r="DG21" s="134"/>
      <c r="DH21" s="134"/>
      <c r="DI21" s="134"/>
      <c r="DJ21" s="134"/>
      <c r="DK21" s="134"/>
      <c r="DL21" s="134"/>
      <c r="DM21" s="134"/>
      <c r="DN21" s="134"/>
      <c r="DO21" s="135"/>
      <c r="DP21" s="133"/>
      <c r="DQ21" s="134"/>
      <c r="DR21" s="134"/>
      <c r="DS21" s="134"/>
      <c r="DT21" s="134"/>
      <c r="DU21" s="134"/>
      <c r="DV21" s="134"/>
      <c r="DW21" s="134"/>
      <c r="DX21" s="134"/>
      <c r="DY21" s="134"/>
      <c r="DZ21" s="134"/>
      <c r="EA21" s="134"/>
      <c r="EB21" s="134"/>
      <c r="EC21" s="134"/>
      <c r="ED21" s="135"/>
      <c r="EE21" s="133"/>
      <c r="EF21" s="134"/>
      <c r="EG21" s="134"/>
      <c r="EH21" s="134"/>
      <c r="EI21" s="134"/>
      <c r="EJ21" s="134"/>
      <c r="EK21" s="134"/>
      <c r="EL21" s="134"/>
      <c r="EM21" s="134"/>
      <c r="EN21" s="134"/>
      <c r="EO21" s="134"/>
      <c r="EP21" s="134"/>
      <c r="EQ21" s="134"/>
      <c r="ER21" s="134"/>
      <c r="ES21" s="135"/>
      <c r="ET21" s="133"/>
      <c r="EU21" s="134"/>
      <c r="EV21" s="134"/>
      <c r="EW21" s="134"/>
      <c r="EX21" s="134"/>
      <c r="EY21" s="134"/>
      <c r="EZ21" s="134"/>
      <c r="FA21" s="134"/>
      <c r="FB21" s="134"/>
      <c r="FC21" s="134"/>
      <c r="FD21" s="134"/>
      <c r="FE21" s="134"/>
      <c r="FF21" s="134"/>
      <c r="FG21" s="134"/>
      <c r="FH21" s="135"/>
      <c r="FI21" s="133"/>
      <c r="FJ21" s="134"/>
      <c r="FK21" s="134"/>
      <c r="FL21" s="134"/>
      <c r="FM21" s="134"/>
      <c r="FN21" s="134"/>
      <c r="FO21" s="134"/>
      <c r="FP21" s="134"/>
      <c r="FQ21" s="134"/>
      <c r="FR21" s="134"/>
      <c r="FS21" s="134"/>
      <c r="FT21" s="134"/>
      <c r="FU21" s="134"/>
      <c r="FV21" s="134"/>
      <c r="FW21" s="135"/>
      <c r="FX21" s="109"/>
    </row>
    <row r="22" spans="1:180" ht="17.100000000000001" customHeight="1">
      <c r="A22" s="136"/>
      <c r="B22" s="137"/>
      <c r="C22" s="137"/>
      <c r="D22" s="137"/>
      <c r="E22" s="137"/>
      <c r="F22" s="137"/>
      <c r="G22" s="137"/>
      <c r="H22" s="137"/>
      <c r="I22" s="137"/>
      <c r="J22" s="137"/>
      <c r="K22" s="137"/>
      <c r="L22" s="137"/>
      <c r="M22" s="137"/>
      <c r="N22" s="137"/>
      <c r="O22" s="138"/>
      <c r="P22" s="110"/>
      <c r="Q22" s="134"/>
      <c r="R22" s="134"/>
      <c r="S22" s="134"/>
      <c r="T22" s="134"/>
      <c r="U22" s="134"/>
      <c r="V22" s="134"/>
      <c r="W22" s="134"/>
      <c r="X22" s="134"/>
      <c r="Y22" s="134"/>
      <c r="Z22" s="134"/>
      <c r="AA22" s="134"/>
      <c r="AB22" s="134"/>
      <c r="AC22" s="135"/>
      <c r="AD22" s="133"/>
      <c r="AE22" s="134"/>
      <c r="AF22" s="134"/>
      <c r="AG22" s="134"/>
      <c r="AH22" s="134"/>
      <c r="AI22" s="134"/>
      <c r="AJ22" s="134"/>
      <c r="AK22" s="134"/>
      <c r="AL22" s="134"/>
      <c r="AM22" s="134"/>
      <c r="AN22" s="134"/>
      <c r="AO22" s="134"/>
      <c r="AP22" s="134"/>
      <c r="AQ22" s="134"/>
      <c r="AR22" s="135"/>
      <c r="AS22" s="133"/>
      <c r="AT22" s="134"/>
      <c r="AU22" s="134"/>
      <c r="AV22" s="134"/>
      <c r="AW22" s="134"/>
      <c r="AX22" s="134"/>
      <c r="AY22" s="134"/>
      <c r="AZ22" s="134"/>
      <c r="BA22" s="134"/>
      <c r="BB22" s="134"/>
      <c r="BC22" s="134"/>
      <c r="BD22" s="134"/>
      <c r="BE22" s="134"/>
      <c r="BF22" s="134"/>
      <c r="BG22" s="135"/>
      <c r="BH22" s="133"/>
      <c r="BI22" s="134"/>
      <c r="BJ22" s="134"/>
      <c r="BK22" s="134"/>
      <c r="BL22" s="134"/>
      <c r="BM22" s="134"/>
      <c r="BN22" s="134"/>
      <c r="BO22" s="134"/>
      <c r="BP22" s="134"/>
      <c r="BQ22" s="134"/>
      <c r="BR22" s="134"/>
      <c r="BS22" s="134"/>
      <c r="BT22" s="134"/>
      <c r="BU22" s="134"/>
      <c r="BV22" s="135"/>
      <c r="BW22" s="133"/>
      <c r="BX22" s="134"/>
      <c r="BY22" s="134"/>
      <c r="BZ22" s="134"/>
      <c r="CA22" s="134"/>
      <c r="CB22" s="134"/>
      <c r="CC22" s="134"/>
      <c r="CD22" s="134"/>
      <c r="CE22" s="134"/>
      <c r="CF22" s="134"/>
      <c r="CG22" s="134"/>
      <c r="CH22" s="134"/>
      <c r="CI22" s="134"/>
      <c r="CJ22" s="134"/>
      <c r="CK22" s="135"/>
      <c r="CL22" s="133"/>
      <c r="CM22" s="134"/>
      <c r="CN22" s="134"/>
      <c r="CO22" s="134"/>
      <c r="CP22" s="134"/>
      <c r="CQ22" s="134"/>
      <c r="CR22" s="134"/>
      <c r="CS22" s="134"/>
      <c r="CT22" s="134"/>
      <c r="CU22" s="134"/>
      <c r="CV22" s="134"/>
      <c r="CW22" s="134"/>
      <c r="CX22" s="134"/>
      <c r="CY22" s="134"/>
      <c r="CZ22" s="135"/>
      <c r="DA22" s="133"/>
      <c r="DB22" s="134"/>
      <c r="DC22" s="134"/>
      <c r="DD22" s="134"/>
      <c r="DE22" s="134"/>
      <c r="DF22" s="134"/>
      <c r="DG22" s="134"/>
      <c r="DH22" s="134"/>
      <c r="DI22" s="134"/>
      <c r="DJ22" s="134"/>
      <c r="DK22" s="134"/>
      <c r="DL22" s="134"/>
      <c r="DM22" s="134"/>
      <c r="DN22" s="134"/>
      <c r="DO22" s="135"/>
      <c r="DP22" s="133"/>
      <c r="DQ22" s="134"/>
      <c r="DR22" s="134"/>
      <c r="DS22" s="134"/>
      <c r="DT22" s="134"/>
      <c r="DU22" s="134"/>
      <c r="DV22" s="134"/>
      <c r="DW22" s="134"/>
      <c r="DX22" s="134"/>
      <c r="DY22" s="134"/>
      <c r="DZ22" s="134"/>
      <c r="EA22" s="134"/>
      <c r="EB22" s="134"/>
      <c r="EC22" s="134"/>
      <c r="ED22" s="135"/>
      <c r="EE22" s="133"/>
      <c r="EF22" s="134"/>
      <c r="EG22" s="134"/>
      <c r="EH22" s="134"/>
      <c r="EI22" s="134"/>
      <c r="EJ22" s="134"/>
      <c r="EK22" s="134"/>
      <c r="EL22" s="134"/>
      <c r="EM22" s="134"/>
      <c r="EN22" s="134"/>
      <c r="EO22" s="134"/>
      <c r="EP22" s="134"/>
      <c r="EQ22" s="134"/>
      <c r="ER22" s="134"/>
      <c r="ES22" s="135"/>
      <c r="ET22" s="133"/>
      <c r="EU22" s="134"/>
      <c r="EV22" s="134"/>
      <c r="EW22" s="134"/>
      <c r="EX22" s="134"/>
      <c r="EY22" s="134"/>
      <c r="EZ22" s="134"/>
      <c r="FA22" s="134"/>
      <c r="FB22" s="134"/>
      <c r="FC22" s="134"/>
      <c r="FD22" s="134"/>
      <c r="FE22" s="134"/>
      <c r="FF22" s="134"/>
      <c r="FG22" s="134"/>
      <c r="FH22" s="135"/>
      <c r="FI22" s="133"/>
      <c r="FJ22" s="134"/>
      <c r="FK22" s="134"/>
      <c r="FL22" s="134"/>
      <c r="FM22" s="134"/>
      <c r="FN22" s="134"/>
      <c r="FO22" s="134"/>
      <c r="FP22" s="134"/>
      <c r="FQ22" s="134"/>
      <c r="FR22" s="134"/>
      <c r="FS22" s="134"/>
      <c r="FT22" s="134"/>
      <c r="FU22" s="134"/>
      <c r="FV22" s="134"/>
      <c r="FW22" s="135"/>
      <c r="FX22" s="109"/>
    </row>
    <row r="23" spans="1:180" ht="30" customHeight="1">
      <c r="A23" s="136" t="str">
        <f>ToolName &amp; " is not designed to be used as an assurance tool, but should contribute to the establishment of assurance in relation to demand and capacity planning."</f>
        <v>NHSE England Demand and Capacity Planning Roadmap and Maturity Tool is not designed to be used as an assurance tool, but should contribute to the establishment of assurance in relation to demand and capacity planning.</v>
      </c>
      <c r="B23" s="137"/>
      <c r="C23" s="137"/>
      <c r="D23" s="137"/>
      <c r="E23" s="137"/>
      <c r="F23" s="137"/>
      <c r="G23" s="137"/>
      <c r="H23" s="137"/>
      <c r="I23" s="137"/>
      <c r="J23" s="137"/>
      <c r="K23" s="137"/>
      <c r="L23" s="137"/>
      <c r="M23" s="137"/>
      <c r="N23" s="137"/>
      <c r="O23" s="138"/>
      <c r="P23" s="110"/>
      <c r="Q23" s="134"/>
      <c r="R23" s="134"/>
      <c r="S23" s="134"/>
      <c r="T23" s="134"/>
      <c r="U23" s="134"/>
      <c r="V23" s="134"/>
      <c r="W23" s="134"/>
      <c r="X23" s="134"/>
      <c r="Y23" s="134"/>
      <c r="Z23" s="134"/>
      <c r="AA23" s="134"/>
      <c r="AB23" s="134"/>
      <c r="AC23" s="135"/>
      <c r="AD23" s="133"/>
      <c r="AE23" s="134"/>
      <c r="AF23" s="134"/>
      <c r="AG23" s="134"/>
      <c r="AH23" s="134"/>
      <c r="AI23" s="134"/>
      <c r="AJ23" s="134"/>
      <c r="AK23" s="134"/>
      <c r="AL23" s="134"/>
      <c r="AM23" s="134"/>
      <c r="AN23" s="134"/>
      <c r="AO23" s="134"/>
      <c r="AP23" s="134"/>
      <c r="AQ23" s="134"/>
      <c r="AR23" s="135"/>
      <c r="AS23" s="133"/>
      <c r="AT23" s="134"/>
      <c r="AU23" s="134"/>
      <c r="AV23" s="134"/>
      <c r="AW23" s="134"/>
      <c r="AX23" s="134"/>
      <c r="AY23" s="134"/>
      <c r="AZ23" s="134"/>
      <c r="BA23" s="134"/>
      <c r="BB23" s="134"/>
      <c r="BC23" s="134"/>
      <c r="BD23" s="134"/>
      <c r="BE23" s="134"/>
      <c r="BF23" s="134"/>
      <c r="BG23" s="135"/>
      <c r="BH23" s="133"/>
      <c r="BI23" s="134"/>
      <c r="BJ23" s="134"/>
      <c r="BK23" s="134"/>
      <c r="BL23" s="134"/>
      <c r="BM23" s="134"/>
      <c r="BN23" s="134"/>
      <c r="BO23" s="134"/>
      <c r="BP23" s="134"/>
      <c r="BQ23" s="134"/>
      <c r="BR23" s="134"/>
      <c r="BS23" s="134"/>
      <c r="BT23" s="134"/>
      <c r="BU23" s="134"/>
      <c r="BV23" s="135"/>
      <c r="BW23" s="133"/>
      <c r="BX23" s="134"/>
      <c r="BY23" s="134"/>
      <c r="BZ23" s="134"/>
      <c r="CA23" s="134"/>
      <c r="CB23" s="134"/>
      <c r="CC23" s="134"/>
      <c r="CD23" s="134"/>
      <c r="CE23" s="134"/>
      <c r="CF23" s="134"/>
      <c r="CG23" s="134"/>
      <c r="CH23" s="134"/>
      <c r="CI23" s="134"/>
      <c r="CJ23" s="134"/>
      <c r="CK23" s="135"/>
      <c r="CL23" s="133"/>
      <c r="CM23" s="134"/>
      <c r="CN23" s="134"/>
      <c r="CO23" s="134"/>
      <c r="CP23" s="134"/>
      <c r="CQ23" s="134"/>
      <c r="CR23" s="134"/>
      <c r="CS23" s="134"/>
      <c r="CT23" s="134"/>
      <c r="CU23" s="134"/>
      <c r="CV23" s="134"/>
      <c r="CW23" s="134"/>
      <c r="CX23" s="134"/>
      <c r="CY23" s="134"/>
      <c r="CZ23" s="135"/>
      <c r="DA23" s="133"/>
      <c r="DB23" s="134"/>
      <c r="DC23" s="134"/>
      <c r="DD23" s="134"/>
      <c r="DE23" s="134"/>
      <c r="DF23" s="134"/>
      <c r="DG23" s="134"/>
      <c r="DH23" s="134"/>
      <c r="DI23" s="134"/>
      <c r="DJ23" s="134"/>
      <c r="DK23" s="134"/>
      <c r="DL23" s="134"/>
      <c r="DM23" s="134"/>
      <c r="DN23" s="134"/>
      <c r="DO23" s="135"/>
      <c r="DP23" s="133"/>
      <c r="DQ23" s="134"/>
      <c r="DR23" s="134"/>
      <c r="DS23" s="134"/>
      <c r="DT23" s="134"/>
      <c r="DU23" s="134"/>
      <c r="DV23" s="134"/>
      <c r="DW23" s="134"/>
      <c r="DX23" s="134"/>
      <c r="DY23" s="134"/>
      <c r="DZ23" s="134"/>
      <c r="EA23" s="134"/>
      <c r="EB23" s="134"/>
      <c r="EC23" s="134"/>
      <c r="ED23" s="135"/>
      <c r="EE23" s="133"/>
      <c r="EF23" s="134"/>
      <c r="EG23" s="134"/>
      <c r="EH23" s="134"/>
      <c r="EI23" s="134"/>
      <c r="EJ23" s="134"/>
      <c r="EK23" s="134"/>
      <c r="EL23" s="134"/>
      <c r="EM23" s="134"/>
      <c r="EN23" s="134"/>
      <c r="EO23" s="134"/>
      <c r="EP23" s="134"/>
      <c r="EQ23" s="134"/>
      <c r="ER23" s="134"/>
      <c r="ES23" s="135"/>
      <c r="ET23" s="133"/>
      <c r="EU23" s="134"/>
      <c r="EV23" s="134"/>
      <c r="EW23" s="134"/>
      <c r="EX23" s="134"/>
      <c r="EY23" s="134"/>
      <c r="EZ23" s="134"/>
      <c r="FA23" s="134"/>
      <c r="FB23" s="134"/>
      <c r="FC23" s="134"/>
      <c r="FD23" s="134"/>
      <c r="FE23" s="134"/>
      <c r="FF23" s="134"/>
      <c r="FG23" s="134"/>
      <c r="FH23" s="135"/>
      <c r="FI23" s="133"/>
      <c r="FJ23" s="134"/>
      <c r="FK23" s="134"/>
      <c r="FL23" s="134"/>
      <c r="FM23" s="134"/>
      <c r="FN23" s="134"/>
      <c r="FO23" s="134"/>
      <c r="FP23" s="134"/>
      <c r="FQ23" s="134"/>
      <c r="FR23" s="134"/>
      <c r="FS23" s="134"/>
      <c r="FT23" s="134"/>
      <c r="FU23" s="134"/>
      <c r="FV23" s="134"/>
      <c r="FW23" s="135"/>
      <c r="FX23" s="109"/>
    </row>
    <row r="24" spans="1:180" s="9" customFormat="1" ht="21" customHeight="1">
      <c r="A24" s="9" t="s">
        <v>148</v>
      </c>
      <c r="B24" s="102"/>
      <c r="C24" s="102"/>
      <c r="D24" s="102"/>
      <c r="E24" s="102"/>
      <c r="F24" s="102"/>
      <c r="G24" s="102"/>
      <c r="H24" s="102"/>
      <c r="I24" s="102"/>
      <c r="J24" s="132" t="s">
        <v>132</v>
      </c>
      <c r="K24" s="131"/>
      <c r="L24" s="131"/>
      <c r="M24" s="131"/>
      <c r="N24" s="131"/>
      <c r="O24" s="68"/>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103"/>
      <c r="CB24" s="103"/>
      <c r="CC24" s="103"/>
      <c r="CD24" s="103"/>
      <c r="CE24" s="103"/>
      <c r="CF24" s="103"/>
      <c r="CG24" s="103"/>
      <c r="CH24" s="103"/>
      <c r="CI24" s="103"/>
      <c r="CJ24" s="103"/>
      <c r="CK24" s="103"/>
      <c r="CL24" s="103"/>
      <c r="CM24" s="103"/>
      <c r="CN24" s="103"/>
      <c r="CO24" s="103"/>
      <c r="CP24" s="103"/>
      <c r="CQ24" s="103"/>
      <c r="CR24" s="103"/>
      <c r="CS24" s="103"/>
      <c r="CT24" s="103"/>
      <c r="CU24" s="103"/>
      <c r="CV24" s="103"/>
      <c r="CW24" s="103"/>
      <c r="CX24" s="103"/>
      <c r="CY24" s="103"/>
      <c r="CZ24" s="103"/>
      <c r="DA24" s="103"/>
      <c r="DB24" s="103"/>
      <c r="DC24" s="103"/>
      <c r="DD24" s="103"/>
      <c r="DE24" s="103"/>
      <c r="DF24" s="103"/>
      <c r="DG24" s="103"/>
      <c r="DH24" s="103"/>
      <c r="DI24" s="103"/>
      <c r="DJ24" s="103"/>
      <c r="DK24" s="103"/>
      <c r="DL24" s="103"/>
      <c r="DM24" s="103"/>
      <c r="DN24" s="103"/>
      <c r="DO24" s="103"/>
      <c r="DP24" s="103"/>
      <c r="DQ24" s="103"/>
      <c r="DR24" s="103"/>
      <c r="DS24" s="103"/>
      <c r="DT24" s="103"/>
      <c r="DU24" s="103"/>
      <c r="DV24" s="103"/>
      <c r="DW24" s="103"/>
      <c r="DX24" s="103"/>
      <c r="DY24" s="103"/>
      <c r="DZ24" s="103"/>
      <c r="EA24" s="103"/>
      <c r="EB24" s="103"/>
      <c r="EC24" s="103"/>
      <c r="ED24" s="103"/>
      <c r="EE24" s="103"/>
      <c r="EF24" s="103"/>
      <c r="EG24" s="103"/>
      <c r="EH24" s="103"/>
      <c r="EI24" s="103"/>
      <c r="EJ24" s="103"/>
      <c r="EK24" s="103"/>
      <c r="EL24" s="103"/>
      <c r="EM24" s="103"/>
      <c r="EN24" s="103"/>
      <c r="EO24" s="103"/>
      <c r="EP24" s="103"/>
      <c r="EQ24" s="103"/>
      <c r="ER24" s="103"/>
      <c r="ES24" s="103"/>
      <c r="ET24" s="103"/>
      <c r="EU24" s="103"/>
      <c r="EV24" s="103"/>
      <c r="EW24" s="103"/>
      <c r="EX24" s="103"/>
      <c r="EY24" s="103"/>
      <c r="EZ24" s="103"/>
      <c r="FA24" s="103"/>
      <c r="FB24" s="103"/>
      <c r="FC24" s="103"/>
      <c r="FD24" s="103"/>
      <c r="FE24" s="103"/>
      <c r="FF24" s="103"/>
      <c r="FG24" s="103"/>
      <c r="FH24" s="103"/>
      <c r="FI24" s="103"/>
      <c r="FJ24" s="103"/>
      <c r="FK24" s="103"/>
      <c r="FL24" s="103"/>
      <c r="FM24" s="103"/>
      <c r="FN24" s="103"/>
      <c r="FO24" s="103"/>
      <c r="FP24" s="103"/>
      <c r="FQ24" s="103"/>
      <c r="FR24" s="103"/>
      <c r="FS24" s="103"/>
      <c r="FT24" s="103"/>
      <c r="FU24" s="103"/>
      <c r="FV24" s="103"/>
      <c r="FW24" s="103"/>
      <c r="FX24" s="103"/>
    </row>
    <row r="25" spans="1:180" ht="5.25" customHeight="1">
      <c r="A25" s="44"/>
      <c r="B25" s="45"/>
      <c r="C25" s="45"/>
      <c r="D25" s="45"/>
      <c r="E25" s="45"/>
      <c r="F25" s="45"/>
      <c r="G25" s="45"/>
      <c r="H25" s="45"/>
      <c r="I25" s="45"/>
      <c r="J25" s="45"/>
      <c r="K25" s="45"/>
      <c r="L25" s="45"/>
      <c r="M25" s="45"/>
      <c r="N25" s="45"/>
      <c r="O25" s="46"/>
    </row>
  </sheetData>
  <sheetProtection algorithmName="SHA-512" hashValue="HrNoCNek373inb1dLzvaT7ZLv3iuoPei8bUeskaztVftN5CqIB7N525JPXpN+gHmdMvknauDTrwc70okCdZGGg==" saltValue="ui/g7hJXR4FNX789sA6RYA==" spinCount="100000" sheet="1" selectLockedCells="1" selectUnlockedCells="1"/>
  <mergeCells count="73">
    <mergeCell ref="A23:O23"/>
    <mergeCell ref="A21:O22"/>
    <mergeCell ref="A2:O2"/>
    <mergeCell ref="A3:O3"/>
    <mergeCell ref="A4:O4"/>
    <mergeCell ref="A5:O5"/>
    <mergeCell ref="ET8:FH8"/>
    <mergeCell ref="Q8:AC8"/>
    <mergeCell ref="AD8:AR8"/>
    <mergeCell ref="AS8:BG8"/>
    <mergeCell ref="A7:O7"/>
    <mergeCell ref="A8:O8"/>
    <mergeCell ref="FI8:FW8"/>
    <mergeCell ref="A10:O10"/>
    <mergeCell ref="A11:O11"/>
    <mergeCell ref="BH8:BV8"/>
    <mergeCell ref="BW8:CK8"/>
    <mergeCell ref="CL8:CZ8"/>
    <mergeCell ref="DA8:DO8"/>
    <mergeCell ref="DP8:ED8"/>
    <mergeCell ref="EE8:ES8"/>
    <mergeCell ref="FI12:FW12"/>
    <mergeCell ref="A9:O9"/>
    <mergeCell ref="A19:O19"/>
    <mergeCell ref="A20:O20"/>
    <mergeCell ref="A17:O17"/>
    <mergeCell ref="DP12:ED12"/>
    <mergeCell ref="EE12:ES12"/>
    <mergeCell ref="ET12:FH12"/>
    <mergeCell ref="CL12:CZ12"/>
    <mergeCell ref="A12:O13"/>
    <mergeCell ref="A14:O14"/>
    <mergeCell ref="A15:O15"/>
    <mergeCell ref="A18:O18"/>
    <mergeCell ref="DA12:DO12"/>
    <mergeCell ref="Q12:AC12"/>
    <mergeCell ref="AD12:AR12"/>
    <mergeCell ref="BW12:CK12"/>
    <mergeCell ref="EE21:ES21"/>
    <mergeCell ref="CL21:CZ21"/>
    <mergeCell ref="DP21:ED21"/>
    <mergeCell ref="DA21:DO21"/>
    <mergeCell ref="BH22:BV22"/>
    <mergeCell ref="Q21:AC21"/>
    <mergeCell ref="AD21:AR21"/>
    <mergeCell ref="AS12:BG12"/>
    <mergeCell ref="BH12:BV12"/>
    <mergeCell ref="AD22:AR22"/>
    <mergeCell ref="AS22:BG22"/>
    <mergeCell ref="FI21:FW21"/>
    <mergeCell ref="ET21:FH21"/>
    <mergeCell ref="Q23:AC23"/>
    <mergeCell ref="AD23:AR23"/>
    <mergeCell ref="AS23:BG23"/>
    <mergeCell ref="BH23:BV23"/>
    <mergeCell ref="ET22:FH22"/>
    <mergeCell ref="FI22:FW22"/>
    <mergeCell ref="ET23:FH23"/>
    <mergeCell ref="FI23:FW23"/>
    <mergeCell ref="Q22:AC22"/>
    <mergeCell ref="AS21:BG21"/>
    <mergeCell ref="BH21:BV21"/>
    <mergeCell ref="BW21:CK21"/>
    <mergeCell ref="EE23:ES23"/>
    <mergeCell ref="BW22:CK22"/>
    <mergeCell ref="CL22:CZ22"/>
    <mergeCell ref="DA22:DO22"/>
    <mergeCell ref="CL23:CZ23"/>
    <mergeCell ref="BW23:CK23"/>
    <mergeCell ref="DP22:ED22"/>
    <mergeCell ref="EE22:ES22"/>
    <mergeCell ref="DA23:DO23"/>
    <mergeCell ref="DP23:ED23"/>
  </mergeCells>
  <hyperlinks>
    <hyperlink ref="J24" r:id="rId1" xr:uid="{51B6956A-3F8E-4A12-880E-C0AA74C540E1}"/>
  </hyperlinks>
  <pageMargins left="0.39370078740157483" right="0.39370078740157483" top="1.5748031496062993" bottom="0.59055118110236227" header="0.59055118110236227" footer="0"/>
  <pageSetup paperSize="9" scale="70" orientation="portrait" errors="blank"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874B2-C36A-4A20-B8B8-1B9EAE52C447}">
  <sheetPr>
    <pageSetUpPr fitToPage="1"/>
  </sheetPr>
  <dimension ref="A1:IQ54"/>
  <sheetViews>
    <sheetView showGridLines="0" showRowColHeaders="0" zoomScaleNormal="100" zoomScaleSheetLayoutView="80" zoomScalePageLayoutView="40" workbookViewId="0">
      <selection activeCell="C17" sqref="C17"/>
    </sheetView>
  </sheetViews>
  <sheetFormatPr defaultColWidth="9" defaultRowHeight="14.25"/>
  <cols>
    <col min="1" max="1" width="9.125" style="1" customWidth="1"/>
    <col min="2" max="2" width="15.625" style="1" customWidth="1"/>
    <col min="3" max="3" width="4.125" style="1" customWidth="1"/>
    <col min="4" max="4" width="8" style="1" customWidth="1"/>
    <col min="5" max="5" width="16" style="1" customWidth="1"/>
    <col min="6" max="6" width="10.125" style="1" customWidth="1"/>
    <col min="7" max="7" width="8.125" style="1" customWidth="1"/>
    <col min="8" max="8" width="7.875" style="1" customWidth="1"/>
    <col min="9" max="9" width="9" style="1" customWidth="1"/>
    <col min="10" max="11" width="8.125" style="1" customWidth="1"/>
    <col min="12" max="12" width="18.875" style="1" customWidth="1"/>
    <col min="13" max="16384" width="9" style="1"/>
  </cols>
  <sheetData>
    <row r="1" spans="1:251">
      <c r="A1" s="60"/>
      <c r="B1" s="61" t="s">
        <v>9</v>
      </c>
      <c r="C1" s="61"/>
      <c r="D1" s="61" t="s">
        <v>0</v>
      </c>
      <c r="E1" s="61" t="s">
        <v>2</v>
      </c>
      <c r="F1" s="62"/>
      <c r="G1" s="62"/>
      <c r="H1" s="62"/>
      <c r="I1" s="62"/>
      <c r="J1" s="62"/>
      <c r="K1" s="62"/>
      <c r="L1" s="63"/>
    </row>
    <row r="2" spans="1:251" ht="54" customHeight="1">
      <c r="A2" s="159" t="s">
        <v>141</v>
      </c>
      <c r="B2" s="160"/>
      <c r="C2" s="160"/>
      <c r="D2" s="160"/>
      <c r="E2" s="160"/>
      <c r="F2" s="160"/>
      <c r="G2" s="160"/>
      <c r="H2" s="160"/>
      <c r="I2" s="160"/>
      <c r="J2" s="160"/>
      <c r="K2" s="160"/>
      <c r="L2" s="161"/>
    </row>
    <row r="3" spans="1:251" ht="23.25" customHeight="1">
      <c r="A3" s="142" t="s">
        <v>10</v>
      </c>
      <c r="B3" s="143"/>
      <c r="C3" s="143"/>
      <c r="D3" s="143"/>
      <c r="E3" s="143"/>
      <c r="F3" s="143"/>
      <c r="G3" s="143"/>
      <c r="H3" s="143"/>
      <c r="I3" s="143"/>
      <c r="J3" s="143"/>
      <c r="K3" s="143"/>
      <c r="L3" s="144"/>
    </row>
    <row r="4" spans="1:251" ht="8.1" customHeight="1">
      <c r="A4" s="18"/>
      <c r="I4" s="2"/>
      <c r="J4" s="2"/>
      <c r="K4" s="2"/>
      <c r="L4" s="19"/>
      <c r="M4" s="2"/>
      <c r="N4" s="2"/>
      <c r="O4" s="7"/>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3"/>
      <c r="AW4" s="3"/>
      <c r="AX4" s="3"/>
      <c r="AY4" s="3"/>
    </row>
    <row r="5" spans="1:251" ht="15" customHeight="1">
      <c r="A5" s="18"/>
      <c r="B5" s="35" t="s">
        <v>137</v>
      </c>
      <c r="C5" s="35"/>
      <c r="D5" s="36"/>
      <c r="E5" s="36"/>
      <c r="F5" s="37"/>
      <c r="G5" s="37"/>
      <c r="H5" s="37"/>
      <c r="I5" s="35"/>
      <c r="J5" s="35"/>
      <c r="K5" s="38"/>
      <c r="L5" s="64"/>
      <c r="M5" s="2"/>
      <c r="N5" s="2"/>
      <c r="O5" s="7"/>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3"/>
      <c r="AW5" s="3"/>
      <c r="AX5" s="3"/>
      <c r="AY5" s="3"/>
    </row>
    <row r="6" spans="1:251" s="9" customFormat="1" ht="15" customHeight="1">
      <c r="A6" s="65"/>
      <c r="B6" s="162"/>
      <c r="C6" s="163"/>
      <c r="D6" s="163"/>
      <c r="E6" s="163"/>
      <c r="F6" s="163"/>
      <c r="G6" s="164"/>
      <c r="H6" s="165" t="s">
        <v>11</v>
      </c>
      <c r="I6" s="166"/>
      <c r="J6" s="167"/>
      <c r="K6" s="39">
        <v>44749</v>
      </c>
      <c r="L6" s="66"/>
      <c r="M6" s="13"/>
      <c r="N6" s="13"/>
      <c r="O6" s="14"/>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5"/>
      <c r="AW6" s="15"/>
      <c r="AX6" s="15"/>
      <c r="AY6" s="15"/>
    </row>
    <row r="7" spans="1:251" ht="15" customHeight="1">
      <c r="A7" s="111"/>
      <c r="B7" s="112"/>
      <c r="C7" s="112"/>
      <c r="D7" s="112"/>
      <c r="E7" s="112"/>
      <c r="F7" s="112"/>
      <c r="G7" s="112"/>
      <c r="H7" s="112"/>
      <c r="I7" s="112"/>
      <c r="J7" s="112"/>
      <c r="K7" s="112"/>
      <c r="L7" s="113"/>
    </row>
    <row r="8" spans="1:251" s="9" customFormat="1" ht="15" customHeight="1">
      <c r="A8" s="67"/>
      <c r="C8" s="117" t="s">
        <v>12</v>
      </c>
      <c r="D8" s="40">
        <v>44927</v>
      </c>
      <c r="F8" s="117" t="s">
        <v>13</v>
      </c>
      <c r="G8" s="40">
        <v>45114</v>
      </c>
      <c r="H8" s="47"/>
      <c r="J8" s="117" t="s">
        <v>14</v>
      </c>
      <c r="K8" s="40">
        <v>45272</v>
      </c>
      <c r="L8" s="68"/>
    </row>
    <row r="9" spans="1:251" ht="8.1" customHeight="1">
      <c r="A9" s="41"/>
      <c r="B9" s="5"/>
      <c r="C9" s="5"/>
      <c r="D9" s="5"/>
      <c r="E9" s="5"/>
      <c r="F9" s="5"/>
      <c r="G9" s="5"/>
      <c r="H9" s="5"/>
      <c r="I9" s="5"/>
      <c r="J9" s="5"/>
      <c r="K9" s="5"/>
      <c r="L9" s="42"/>
    </row>
    <row r="10" spans="1:251" ht="23.25" customHeight="1">
      <c r="A10" s="142" t="s">
        <v>15</v>
      </c>
      <c r="B10" s="143"/>
      <c r="C10" s="143"/>
      <c r="D10" s="143"/>
      <c r="E10" s="143"/>
      <c r="F10" s="143"/>
      <c r="G10" s="143"/>
      <c r="H10" s="143"/>
      <c r="I10" s="143"/>
      <c r="J10" s="143"/>
      <c r="K10" s="143"/>
      <c r="L10" s="144"/>
    </row>
    <row r="11" spans="1:251" ht="3.75" hidden="1" customHeight="1">
      <c r="A11" s="168" t="s">
        <v>16</v>
      </c>
      <c r="B11" s="168"/>
      <c r="C11" s="168"/>
      <c r="D11" s="168"/>
      <c r="E11" s="168"/>
      <c r="F11" s="168"/>
      <c r="G11" s="168"/>
      <c r="H11" s="168"/>
      <c r="I11" s="101" t="s">
        <v>17</v>
      </c>
      <c r="J11"/>
      <c r="K11"/>
      <c r="L11" s="92"/>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c r="FR11" s="110"/>
      <c r="FS11" s="110"/>
      <c r="FT11" s="110"/>
      <c r="FU11" s="110"/>
      <c r="FV11" s="110"/>
      <c r="FW11" s="110"/>
      <c r="FX11" s="110"/>
      <c r="FY11" s="110"/>
      <c r="FZ11" s="110"/>
      <c r="GA11" s="110"/>
      <c r="GB11" s="110"/>
      <c r="GC11" s="110"/>
      <c r="GD11" s="110"/>
      <c r="GE11" s="110"/>
      <c r="GF11" s="110"/>
      <c r="GG11" s="110"/>
      <c r="GH11" s="110"/>
      <c r="GI11" s="110"/>
      <c r="GJ11" s="110"/>
      <c r="GK11" s="110"/>
      <c r="GL11" s="110"/>
      <c r="GM11" s="110"/>
      <c r="GN11" s="110"/>
      <c r="GO11" s="110"/>
      <c r="GP11" s="110"/>
      <c r="GQ11" s="110"/>
      <c r="GR11" s="110"/>
      <c r="GS11" s="110"/>
      <c r="GT11" s="110"/>
      <c r="GU11" s="110"/>
      <c r="GV11" s="110"/>
      <c r="GW11" s="110"/>
      <c r="GX11" s="110"/>
      <c r="GY11" s="110"/>
      <c r="GZ11" s="110"/>
      <c r="HA11" s="110"/>
      <c r="HB11" s="110"/>
      <c r="HC11" s="110"/>
      <c r="HD11" s="110"/>
      <c r="HE11" s="110"/>
      <c r="HF11" s="110"/>
      <c r="HG11" s="110"/>
      <c r="HH11" s="110"/>
      <c r="HI11" s="110"/>
      <c r="HJ11" s="110"/>
      <c r="HK11" s="110"/>
      <c r="HL11" s="110"/>
      <c r="HM11" s="110"/>
      <c r="HN11" s="110"/>
      <c r="HO11" s="110"/>
      <c r="HP11" s="110"/>
      <c r="HQ11" s="110"/>
      <c r="HR11" s="110"/>
      <c r="HS11" s="110"/>
      <c r="HT11" s="110"/>
      <c r="HU11" s="110"/>
      <c r="HV11" s="110"/>
      <c r="HW11" s="110"/>
      <c r="HX11" s="110"/>
      <c r="HY11" s="110"/>
      <c r="HZ11" s="110"/>
      <c r="IA11" s="110"/>
      <c r="IB11" s="110"/>
      <c r="IC11" s="110"/>
      <c r="ID11" s="110"/>
      <c r="IE11" s="110"/>
      <c r="IF11" s="110"/>
      <c r="IG11" s="110"/>
      <c r="IH11" s="110"/>
      <c r="II11" s="110"/>
      <c r="IJ11" s="110"/>
      <c r="IK11" s="110"/>
      <c r="IL11" s="110"/>
      <c r="IM11" s="110"/>
      <c r="IN11" s="110"/>
      <c r="IO11" s="110"/>
      <c r="IP11" s="110"/>
      <c r="IQ11" s="110"/>
    </row>
    <row r="12" spans="1:251" ht="6" customHeight="1">
      <c r="A12" s="111"/>
      <c r="B12" s="112"/>
      <c r="C12" s="112"/>
      <c r="D12" s="112"/>
      <c r="E12" s="112"/>
      <c r="F12" s="112"/>
      <c r="G12" s="112"/>
      <c r="H12" s="112"/>
      <c r="I12" s="112"/>
      <c r="J12" s="112"/>
      <c r="K12" s="112"/>
      <c r="L12" s="113"/>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0"/>
      <c r="DD12" s="110"/>
      <c r="DE12" s="110"/>
      <c r="DF12" s="110"/>
      <c r="DG12" s="110"/>
      <c r="DH12" s="110"/>
      <c r="DI12" s="110"/>
      <c r="DJ12" s="110"/>
      <c r="DK12" s="110"/>
      <c r="DL12" s="110"/>
      <c r="DM12" s="110"/>
      <c r="DN12" s="110"/>
      <c r="DO12" s="110"/>
      <c r="DP12" s="110"/>
      <c r="DQ12" s="110"/>
      <c r="DR12" s="110"/>
      <c r="DS12" s="110"/>
      <c r="DT12" s="110"/>
      <c r="DU12" s="110"/>
      <c r="DV12" s="110"/>
      <c r="DW12" s="110"/>
      <c r="DX12" s="110"/>
      <c r="DY12" s="110"/>
      <c r="DZ12" s="110"/>
      <c r="EA12" s="110"/>
      <c r="EB12" s="110"/>
      <c r="EC12" s="110"/>
      <c r="ED12" s="110"/>
      <c r="EE12" s="110"/>
      <c r="EF12" s="110"/>
      <c r="EG12" s="110"/>
      <c r="EH12" s="110"/>
      <c r="EI12" s="110"/>
      <c r="EJ12" s="110"/>
      <c r="EK12" s="110"/>
      <c r="EL12" s="110"/>
      <c r="EM12" s="110"/>
      <c r="EN12" s="110"/>
      <c r="EO12" s="110"/>
      <c r="EP12" s="110"/>
      <c r="EQ12" s="110"/>
      <c r="ER12" s="110"/>
      <c r="ES12" s="110"/>
      <c r="ET12" s="110"/>
      <c r="EU12" s="110"/>
      <c r="EV12" s="110"/>
      <c r="EW12" s="110"/>
      <c r="EX12" s="110"/>
      <c r="EY12" s="110"/>
      <c r="EZ12" s="110"/>
      <c r="FA12" s="110"/>
      <c r="FB12" s="110"/>
      <c r="FC12" s="110"/>
      <c r="FD12" s="110"/>
      <c r="FE12" s="110"/>
      <c r="FF12" s="110"/>
      <c r="FG12" s="110"/>
      <c r="FH12" s="110"/>
      <c r="FI12" s="110"/>
      <c r="FJ12" s="110"/>
      <c r="FK12" s="110"/>
      <c r="FL12" s="110"/>
      <c r="FM12" s="110"/>
      <c r="FN12" s="110"/>
      <c r="FO12" s="110"/>
      <c r="FP12" s="110"/>
      <c r="FQ12" s="110"/>
      <c r="FR12" s="110"/>
      <c r="FS12" s="110"/>
      <c r="FT12" s="110"/>
      <c r="FU12" s="110"/>
      <c r="FV12" s="110"/>
      <c r="FW12" s="110"/>
      <c r="FX12" s="110"/>
      <c r="FY12" s="110"/>
      <c r="FZ12" s="110"/>
      <c r="GA12" s="110"/>
      <c r="GB12" s="110"/>
      <c r="GC12" s="110"/>
      <c r="GD12" s="110"/>
      <c r="GE12" s="110"/>
      <c r="GF12" s="110"/>
      <c r="GG12" s="110"/>
      <c r="GH12" s="110"/>
      <c r="GI12" s="110"/>
      <c r="GJ12" s="110"/>
      <c r="GK12" s="110"/>
      <c r="GL12" s="110"/>
      <c r="GM12" s="110"/>
      <c r="GN12" s="110"/>
      <c r="GO12" s="110"/>
      <c r="GP12" s="110"/>
      <c r="GQ12" s="110"/>
      <c r="GR12" s="110"/>
      <c r="GS12" s="110"/>
      <c r="GT12" s="110"/>
      <c r="GU12" s="110"/>
      <c r="GV12" s="110"/>
      <c r="GW12" s="110"/>
      <c r="GX12" s="110"/>
      <c r="GY12" s="110"/>
      <c r="GZ12" s="110"/>
      <c r="HA12" s="110"/>
      <c r="HB12" s="110"/>
      <c r="HC12" s="110"/>
      <c r="HD12" s="110"/>
      <c r="HE12" s="110"/>
      <c r="HF12" s="110"/>
      <c r="HG12" s="110"/>
      <c r="HH12" s="110"/>
      <c r="HI12" s="110"/>
      <c r="HJ12" s="110"/>
      <c r="HK12" s="110"/>
      <c r="HL12" s="110"/>
      <c r="HM12" s="110"/>
      <c r="HN12" s="110"/>
      <c r="HO12" s="110"/>
      <c r="HP12" s="110"/>
      <c r="HQ12" s="110"/>
      <c r="HR12" s="110"/>
      <c r="HS12" s="110"/>
      <c r="HT12" s="110"/>
      <c r="HU12" s="110"/>
      <c r="HV12" s="110"/>
      <c r="HW12" s="110"/>
      <c r="HX12" s="110"/>
      <c r="HY12" s="110"/>
      <c r="HZ12" s="110"/>
      <c r="IA12" s="110"/>
      <c r="IB12" s="110"/>
      <c r="IC12" s="110"/>
      <c r="ID12" s="110"/>
      <c r="IE12" s="110"/>
      <c r="IF12" s="110"/>
      <c r="IG12" s="110"/>
      <c r="IH12" s="110"/>
      <c r="II12" s="110"/>
      <c r="IJ12" s="110"/>
      <c r="IK12" s="110"/>
      <c r="IL12" s="110"/>
      <c r="IM12" s="110"/>
      <c r="IN12" s="110"/>
      <c r="IO12" s="110"/>
      <c r="IP12" s="110"/>
      <c r="IQ12" s="110"/>
    </row>
    <row r="13" spans="1:251" ht="15" customHeight="1">
      <c r="A13" s="136" t="s">
        <v>18</v>
      </c>
      <c r="B13" s="137"/>
      <c r="C13" s="137"/>
      <c r="D13" s="137"/>
      <c r="E13" s="137"/>
      <c r="F13" s="137"/>
      <c r="G13" s="137"/>
      <c r="H13" s="137"/>
      <c r="I13" s="137"/>
      <c r="J13" s="137"/>
      <c r="K13" s="137"/>
      <c r="L13" s="138"/>
      <c r="M13" s="134"/>
      <c r="N13" s="134"/>
      <c r="O13" s="134"/>
      <c r="P13" s="134"/>
      <c r="Q13" s="134"/>
      <c r="R13" s="134"/>
      <c r="S13" s="134"/>
      <c r="T13" s="134"/>
      <c r="U13" s="134"/>
      <c r="V13" s="134"/>
      <c r="W13" s="134"/>
      <c r="X13" s="134"/>
      <c r="Y13" s="135"/>
      <c r="Z13" s="133"/>
      <c r="AA13" s="134"/>
      <c r="AB13" s="134"/>
      <c r="AC13" s="134"/>
      <c r="AD13" s="134"/>
      <c r="AE13" s="134"/>
      <c r="AF13" s="134"/>
      <c r="AG13" s="134"/>
      <c r="AH13" s="134"/>
      <c r="AI13" s="134"/>
      <c r="AJ13" s="134"/>
      <c r="AK13" s="134"/>
      <c r="AL13" s="134"/>
      <c r="AM13" s="134"/>
      <c r="AN13" s="135"/>
      <c r="AO13" s="133"/>
      <c r="AP13" s="134"/>
      <c r="AQ13" s="134"/>
      <c r="AR13" s="134"/>
      <c r="AS13" s="134"/>
      <c r="AT13" s="134"/>
      <c r="AU13" s="134"/>
      <c r="AV13" s="134"/>
      <c r="AW13" s="134"/>
      <c r="AX13" s="134"/>
      <c r="AY13" s="134"/>
      <c r="AZ13" s="134"/>
      <c r="BA13" s="134"/>
      <c r="BB13" s="134"/>
      <c r="BC13" s="135"/>
      <c r="BD13" s="133"/>
      <c r="BE13" s="134"/>
      <c r="BF13" s="134"/>
      <c r="BG13" s="134"/>
      <c r="BH13" s="134"/>
      <c r="BI13" s="134"/>
      <c r="BJ13" s="134"/>
      <c r="BK13" s="134"/>
      <c r="BL13" s="134"/>
      <c r="BM13" s="134"/>
      <c r="BN13" s="134"/>
      <c r="BO13" s="134"/>
      <c r="BP13" s="134"/>
      <c r="BQ13" s="134"/>
      <c r="BR13" s="135"/>
      <c r="BS13" s="133"/>
      <c r="BT13" s="134"/>
      <c r="BU13" s="134"/>
      <c r="BV13" s="134"/>
      <c r="BW13" s="134"/>
      <c r="BX13" s="134"/>
      <c r="BY13" s="134"/>
      <c r="BZ13" s="134"/>
      <c r="CA13" s="134"/>
      <c r="CB13" s="134"/>
      <c r="CC13" s="134"/>
      <c r="CD13" s="134"/>
      <c r="CE13" s="134"/>
      <c r="CF13" s="134"/>
      <c r="CG13" s="135"/>
      <c r="CH13" s="133"/>
      <c r="CI13" s="134"/>
      <c r="CJ13" s="134"/>
      <c r="CK13" s="134"/>
      <c r="CL13" s="134"/>
      <c r="CM13" s="134"/>
      <c r="CN13" s="134"/>
      <c r="CO13" s="134"/>
      <c r="CP13" s="134"/>
      <c r="CQ13" s="134"/>
      <c r="CR13" s="134"/>
      <c r="CS13" s="134"/>
      <c r="CT13" s="134"/>
      <c r="CU13" s="134"/>
      <c r="CV13" s="135"/>
      <c r="CW13" s="133"/>
      <c r="CX13" s="134"/>
      <c r="CY13" s="134"/>
      <c r="CZ13" s="134"/>
      <c r="DA13" s="134"/>
      <c r="DB13" s="134"/>
      <c r="DC13" s="134"/>
      <c r="DD13" s="134"/>
      <c r="DE13" s="134"/>
      <c r="DF13" s="134"/>
      <c r="DG13" s="134"/>
      <c r="DH13" s="134"/>
      <c r="DI13" s="134"/>
      <c r="DJ13" s="134"/>
      <c r="DK13" s="135"/>
      <c r="DL13" s="133"/>
      <c r="DM13" s="134"/>
      <c r="DN13" s="134"/>
      <c r="DO13" s="134"/>
      <c r="DP13" s="134"/>
      <c r="DQ13" s="134"/>
      <c r="DR13" s="134"/>
      <c r="DS13" s="134"/>
      <c r="DT13" s="134"/>
      <c r="DU13" s="134"/>
      <c r="DV13" s="134"/>
      <c r="DW13" s="134"/>
      <c r="DX13" s="134"/>
      <c r="DY13" s="134"/>
      <c r="DZ13" s="135"/>
      <c r="EA13" s="133"/>
      <c r="EB13" s="134"/>
      <c r="EC13" s="134"/>
      <c r="ED13" s="134"/>
      <c r="EE13" s="134"/>
      <c r="EF13" s="134"/>
      <c r="EG13" s="134"/>
      <c r="EH13" s="134"/>
      <c r="EI13" s="134"/>
      <c r="EJ13" s="134"/>
      <c r="EK13" s="134"/>
      <c r="EL13" s="134"/>
      <c r="EM13" s="134"/>
      <c r="EN13" s="134"/>
      <c r="EO13" s="135"/>
      <c r="EP13" s="133"/>
      <c r="EQ13" s="134"/>
      <c r="ER13" s="134"/>
      <c r="ES13" s="134"/>
      <c r="ET13" s="134"/>
      <c r="EU13" s="134"/>
      <c r="EV13" s="134"/>
      <c r="EW13" s="134"/>
      <c r="EX13" s="134"/>
      <c r="EY13" s="134"/>
      <c r="EZ13" s="134"/>
      <c r="FA13" s="134"/>
      <c r="FB13" s="134"/>
      <c r="FC13" s="134"/>
      <c r="FD13" s="135"/>
      <c r="FE13" s="133"/>
      <c r="FF13" s="134"/>
      <c r="FG13" s="134"/>
      <c r="FH13" s="134"/>
      <c r="FI13" s="134"/>
      <c r="FJ13" s="134"/>
      <c r="FK13" s="134"/>
      <c r="FL13" s="134"/>
      <c r="FM13" s="134"/>
      <c r="FN13" s="134"/>
      <c r="FO13" s="134"/>
      <c r="FP13" s="134"/>
      <c r="FQ13" s="134"/>
      <c r="FR13" s="134"/>
      <c r="FS13" s="135"/>
      <c r="FT13" s="133"/>
      <c r="FU13" s="134"/>
      <c r="FV13" s="134"/>
      <c r="FW13" s="134"/>
      <c r="FX13" s="134"/>
      <c r="FY13" s="134"/>
      <c r="FZ13" s="134"/>
      <c r="GA13" s="134"/>
      <c r="GB13" s="134"/>
      <c r="GC13" s="134"/>
      <c r="GD13" s="134"/>
      <c r="GE13" s="134"/>
      <c r="GF13" s="134"/>
      <c r="GG13" s="134"/>
      <c r="GH13" s="135"/>
      <c r="GI13" s="133"/>
      <c r="GJ13" s="134"/>
      <c r="GK13" s="134"/>
      <c r="GL13" s="134"/>
      <c r="GM13" s="134"/>
      <c r="GN13" s="134"/>
      <c r="GO13" s="134"/>
      <c r="GP13" s="134"/>
      <c r="GQ13" s="134"/>
      <c r="GR13" s="134"/>
      <c r="GS13" s="134"/>
      <c r="GT13" s="134"/>
      <c r="GU13" s="134"/>
      <c r="GV13" s="134"/>
      <c r="GW13" s="135"/>
      <c r="GX13" s="133"/>
      <c r="GY13" s="134"/>
      <c r="GZ13" s="134"/>
      <c r="HA13" s="134"/>
      <c r="HB13" s="134"/>
      <c r="HC13" s="134"/>
      <c r="HD13" s="134"/>
      <c r="HE13" s="134"/>
      <c r="HF13" s="134"/>
      <c r="HG13" s="134"/>
      <c r="HH13" s="134"/>
      <c r="HI13" s="134"/>
      <c r="HJ13" s="134"/>
      <c r="HK13" s="134"/>
      <c r="HL13" s="135"/>
      <c r="HM13" s="133"/>
      <c r="HN13" s="134"/>
      <c r="HO13" s="134"/>
      <c r="HP13" s="134"/>
      <c r="HQ13" s="134"/>
      <c r="HR13" s="134"/>
      <c r="HS13" s="134"/>
      <c r="HT13" s="134"/>
      <c r="HU13" s="134"/>
      <c r="HV13" s="134"/>
      <c r="HW13" s="134"/>
      <c r="HX13" s="134"/>
      <c r="HY13" s="134"/>
      <c r="HZ13" s="134"/>
      <c r="IA13" s="135"/>
      <c r="IB13" s="133"/>
      <c r="IC13" s="134"/>
      <c r="ID13" s="134"/>
      <c r="IE13" s="134"/>
      <c r="IF13" s="134"/>
      <c r="IG13" s="134"/>
      <c r="IH13" s="134"/>
      <c r="II13" s="134"/>
      <c r="IJ13" s="134"/>
      <c r="IK13" s="134"/>
      <c r="IL13" s="134"/>
      <c r="IM13" s="134"/>
      <c r="IN13" s="134"/>
      <c r="IO13" s="134"/>
      <c r="IP13" s="135"/>
      <c r="IQ13" s="109"/>
    </row>
    <row r="14" spans="1:251" ht="24" customHeight="1">
      <c r="A14" s="73" t="s">
        <v>19</v>
      </c>
      <c r="B14" s="74"/>
      <c r="C14" s="74"/>
      <c r="D14" s="74"/>
      <c r="F14" s="75"/>
      <c r="K14" s="76"/>
      <c r="L14" s="113"/>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H14" s="110"/>
      <c r="DI14" s="110"/>
      <c r="DJ14" s="110"/>
      <c r="DK14" s="110"/>
      <c r="DL14" s="110"/>
      <c r="DM14" s="110"/>
      <c r="DN14" s="110"/>
      <c r="DO14" s="110"/>
      <c r="DP14" s="110"/>
      <c r="DQ14" s="110"/>
      <c r="DR14" s="110"/>
      <c r="DS14" s="110"/>
      <c r="DT14" s="110"/>
      <c r="DU14" s="110"/>
      <c r="DV14" s="110"/>
      <c r="DW14" s="110"/>
      <c r="DX14" s="110"/>
      <c r="DY14" s="110"/>
      <c r="DZ14" s="110"/>
      <c r="EA14" s="110"/>
      <c r="EB14" s="110"/>
      <c r="EC14" s="110"/>
      <c r="ED14" s="110"/>
      <c r="EE14" s="110"/>
      <c r="EF14" s="110"/>
      <c r="EG14" s="110"/>
      <c r="EH14" s="110"/>
      <c r="EI14" s="110"/>
      <c r="EJ14" s="110"/>
      <c r="EK14" s="110"/>
      <c r="EL14" s="110"/>
      <c r="EM14" s="110"/>
      <c r="EN14" s="110"/>
      <c r="EO14" s="110"/>
      <c r="EP14" s="110"/>
      <c r="EQ14" s="110"/>
      <c r="ER14" s="110"/>
      <c r="ES14" s="110"/>
      <c r="ET14" s="110"/>
      <c r="EU14" s="110"/>
      <c r="EV14" s="110"/>
      <c r="EW14" s="110"/>
      <c r="EX14" s="110"/>
      <c r="EY14" s="110"/>
      <c r="EZ14" s="110"/>
      <c r="FA14" s="110"/>
      <c r="FB14" s="110"/>
      <c r="FC14" s="110"/>
      <c r="FD14" s="110"/>
      <c r="FE14" s="110"/>
      <c r="FF14" s="110"/>
      <c r="FG14" s="110"/>
      <c r="FH14" s="110"/>
      <c r="FI14" s="110"/>
      <c r="FJ14" s="110"/>
      <c r="FK14" s="110"/>
      <c r="FL14" s="110"/>
      <c r="FM14" s="110"/>
      <c r="FN14" s="110"/>
      <c r="FO14" s="110"/>
      <c r="FP14" s="110"/>
      <c r="FQ14" s="110"/>
      <c r="FR14" s="110"/>
      <c r="FS14" s="110"/>
      <c r="FT14" s="110"/>
      <c r="FU14" s="110"/>
      <c r="FV14" s="110"/>
      <c r="FW14" s="110"/>
      <c r="FX14" s="110"/>
      <c r="FY14" s="110"/>
      <c r="FZ14" s="110"/>
      <c r="GA14" s="110"/>
      <c r="GB14" s="110"/>
      <c r="GC14" s="110"/>
      <c r="GD14" s="110"/>
      <c r="GE14" s="110"/>
      <c r="GF14" s="110"/>
      <c r="GG14" s="110"/>
      <c r="GH14" s="110"/>
      <c r="GI14" s="110"/>
      <c r="GJ14" s="110"/>
      <c r="GK14" s="110"/>
      <c r="GL14" s="110"/>
      <c r="GM14" s="110"/>
      <c r="GN14" s="110"/>
      <c r="GO14" s="110"/>
      <c r="GP14" s="110"/>
      <c r="GQ14" s="110"/>
      <c r="GR14" s="110"/>
      <c r="GS14" s="110"/>
      <c r="GT14" s="110"/>
      <c r="GU14" s="110"/>
      <c r="GV14" s="110"/>
      <c r="GW14" s="110"/>
      <c r="GX14" s="110"/>
      <c r="GY14" s="110"/>
      <c r="GZ14" s="110"/>
      <c r="HA14" s="110"/>
      <c r="HB14" s="110"/>
      <c r="HC14" s="110"/>
      <c r="HD14" s="110"/>
      <c r="HE14" s="110"/>
      <c r="HF14" s="110"/>
      <c r="HG14" s="110"/>
      <c r="HH14" s="110"/>
      <c r="HI14" s="110"/>
      <c r="HJ14" s="110"/>
      <c r="HK14" s="110"/>
      <c r="HL14" s="110"/>
      <c r="HM14" s="110"/>
      <c r="HN14" s="110"/>
      <c r="HO14" s="110"/>
      <c r="HP14" s="110"/>
      <c r="HQ14" s="110"/>
      <c r="HR14" s="110"/>
      <c r="HS14" s="110"/>
      <c r="HT14" s="110"/>
      <c r="HU14" s="110"/>
      <c r="HV14" s="110"/>
      <c r="HW14" s="110"/>
      <c r="HX14" s="110"/>
      <c r="HY14" s="110"/>
      <c r="HZ14" s="110"/>
      <c r="IA14" s="110"/>
      <c r="IB14" s="110"/>
      <c r="IC14" s="110"/>
      <c r="ID14" s="110"/>
      <c r="IE14" s="110"/>
      <c r="IF14" s="110"/>
      <c r="IG14" s="110"/>
      <c r="IH14" s="110"/>
      <c r="II14" s="110"/>
      <c r="IJ14" s="110"/>
      <c r="IK14" s="110"/>
      <c r="IL14" s="110"/>
      <c r="IM14" s="110"/>
      <c r="IN14" s="110"/>
      <c r="IO14" s="110"/>
      <c r="IP14" s="110"/>
      <c r="IQ14" s="110"/>
    </row>
    <row r="15" spans="1:251" ht="15" customHeight="1">
      <c r="A15" s="77">
        <f>Lookups!I2</f>
        <v>1</v>
      </c>
      <c r="B15" s="78" t="str">
        <f>Lookups!J2</f>
        <v>Nothing</v>
      </c>
      <c r="C15" s="78" t="str">
        <f>Lookups!H2</f>
        <v>No evidence</v>
      </c>
      <c r="D15" s="112"/>
      <c r="E15" s="112"/>
      <c r="F15" s="112"/>
      <c r="G15" s="112"/>
      <c r="H15" s="112"/>
      <c r="I15" s="112"/>
      <c r="J15" s="112"/>
      <c r="K15" s="112"/>
      <c r="L15" s="113"/>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c r="FQ15" s="110"/>
      <c r="FR15" s="110"/>
      <c r="FS15" s="110"/>
      <c r="FT15" s="110"/>
      <c r="FU15" s="110"/>
      <c r="FV15" s="110"/>
      <c r="FW15" s="110"/>
      <c r="FX15" s="110"/>
      <c r="FY15" s="110"/>
      <c r="FZ15" s="110"/>
      <c r="GA15" s="110"/>
      <c r="GB15" s="110"/>
      <c r="GC15" s="110"/>
      <c r="GD15" s="110"/>
      <c r="GE15" s="110"/>
      <c r="GF15" s="110"/>
      <c r="GG15" s="110"/>
      <c r="GH15" s="110"/>
      <c r="GI15" s="110"/>
      <c r="GJ15" s="110"/>
      <c r="GK15" s="110"/>
      <c r="GL15" s="110"/>
      <c r="GM15" s="110"/>
      <c r="GN15" s="110"/>
      <c r="GO15" s="110"/>
      <c r="GP15" s="110"/>
      <c r="GQ15" s="110"/>
      <c r="GR15" s="110"/>
      <c r="GS15" s="110"/>
      <c r="GT15" s="110"/>
      <c r="GU15" s="110"/>
      <c r="GV15" s="110"/>
      <c r="GW15" s="110"/>
      <c r="GX15" s="110"/>
      <c r="GY15" s="110"/>
      <c r="GZ15" s="110"/>
      <c r="HA15" s="110"/>
      <c r="HB15" s="110"/>
      <c r="HC15" s="110"/>
      <c r="HD15" s="110"/>
      <c r="HE15" s="110"/>
      <c r="HF15" s="110"/>
      <c r="HG15" s="110"/>
      <c r="HH15" s="110"/>
      <c r="HI15" s="110"/>
      <c r="HJ15" s="110"/>
      <c r="HK15" s="110"/>
      <c r="HL15" s="110"/>
      <c r="HM15" s="110"/>
      <c r="HN15" s="110"/>
      <c r="HO15" s="110"/>
      <c r="HP15" s="110"/>
      <c r="HQ15" s="110"/>
      <c r="HR15" s="110"/>
      <c r="HS15" s="110"/>
      <c r="HT15" s="110"/>
      <c r="HU15" s="110"/>
      <c r="HV15" s="110"/>
      <c r="HW15" s="110"/>
      <c r="HX15" s="110"/>
      <c r="HY15" s="110"/>
      <c r="HZ15" s="110"/>
      <c r="IA15" s="110"/>
      <c r="IB15" s="110"/>
      <c r="IC15" s="110"/>
      <c r="ID15" s="110"/>
      <c r="IE15" s="110"/>
      <c r="IF15" s="110"/>
      <c r="IG15" s="110"/>
      <c r="IH15" s="110"/>
      <c r="II15" s="110"/>
      <c r="IJ15" s="110"/>
      <c r="IK15" s="110"/>
      <c r="IL15" s="110"/>
      <c r="IM15" s="110"/>
      <c r="IN15" s="110"/>
      <c r="IO15" s="110"/>
      <c r="IP15" s="110"/>
      <c r="IQ15" s="110"/>
    </row>
    <row r="16" spans="1:251" ht="15" customHeight="1">
      <c r="A16" s="77">
        <f>Lookups!I3</f>
        <v>2</v>
      </c>
      <c r="B16" s="78" t="str">
        <f>Lookups!J3</f>
        <v>Fair</v>
      </c>
      <c r="C16" s="78" t="str">
        <f>Lookups!H3</f>
        <v>Limited evidence of implementation or impact; document available</v>
      </c>
      <c r="D16" s="112"/>
      <c r="E16" s="112"/>
      <c r="F16" s="112"/>
      <c r="G16" s="112"/>
      <c r="H16" s="112"/>
      <c r="I16" s="112"/>
      <c r="J16" s="112"/>
      <c r="K16" s="112"/>
      <c r="L16" s="113"/>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0"/>
      <c r="CB16" s="110"/>
      <c r="CC16" s="110"/>
      <c r="CD16" s="110"/>
      <c r="CE16" s="110"/>
      <c r="CF16" s="110"/>
      <c r="CG16" s="110"/>
      <c r="CH16" s="110"/>
      <c r="CI16" s="110"/>
      <c r="CJ16" s="110"/>
      <c r="CK16" s="110"/>
      <c r="CL16" s="110"/>
      <c r="CM16" s="110"/>
      <c r="CN16" s="110"/>
      <c r="CO16" s="110"/>
      <c r="CP16" s="110"/>
      <c r="CQ16" s="110"/>
      <c r="CR16" s="110"/>
      <c r="CS16" s="110"/>
      <c r="CT16" s="110"/>
      <c r="CU16" s="110"/>
      <c r="CV16" s="110"/>
      <c r="CW16" s="110"/>
      <c r="CX16" s="110"/>
      <c r="CY16" s="110"/>
      <c r="CZ16" s="110"/>
      <c r="DA16" s="110"/>
      <c r="DB16" s="110"/>
      <c r="DC16" s="110"/>
      <c r="DD16" s="110"/>
      <c r="DE16" s="110"/>
      <c r="DF16" s="110"/>
      <c r="DG16" s="110"/>
      <c r="DH16" s="110"/>
      <c r="DI16" s="110"/>
      <c r="DJ16" s="110"/>
      <c r="DK16" s="110"/>
      <c r="DL16" s="110"/>
      <c r="DM16" s="110"/>
      <c r="DN16" s="110"/>
      <c r="DO16" s="110"/>
      <c r="DP16" s="110"/>
      <c r="DQ16" s="110"/>
      <c r="DR16" s="110"/>
      <c r="DS16" s="110"/>
      <c r="DT16" s="110"/>
      <c r="DU16" s="110"/>
      <c r="DV16" s="110"/>
      <c r="DW16" s="110"/>
      <c r="DX16" s="110"/>
      <c r="DY16" s="110"/>
      <c r="DZ16" s="110"/>
      <c r="EA16" s="110"/>
      <c r="EB16" s="110"/>
      <c r="EC16" s="110"/>
      <c r="ED16" s="110"/>
      <c r="EE16" s="110"/>
      <c r="EF16" s="110"/>
      <c r="EG16" s="110"/>
      <c r="EH16" s="110"/>
      <c r="EI16" s="110"/>
      <c r="EJ16" s="110"/>
      <c r="EK16" s="110"/>
      <c r="EL16" s="110"/>
      <c r="EM16" s="110"/>
      <c r="EN16" s="110"/>
      <c r="EO16" s="110"/>
      <c r="EP16" s="110"/>
      <c r="EQ16" s="110"/>
      <c r="ER16" s="110"/>
      <c r="ES16" s="110"/>
      <c r="ET16" s="110"/>
      <c r="EU16" s="110"/>
      <c r="EV16" s="110"/>
      <c r="EW16" s="110"/>
      <c r="EX16" s="110"/>
      <c r="EY16" s="110"/>
      <c r="EZ16" s="110"/>
      <c r="FA16" s="110"/>
      <c r="FB16" s="110"/>
      <c r="FC16" s="110"/>
      <c r="FD16" s="110"/>
      <c r="FE16" s="110"/>
      <c r="FF16" s="110"/>
      <c r="FG16" s="110"/>
      <c r="FH16" s="110"/>
      <c r="FI16" s="110"/>
      <c r="FJ16" s="110"/>
      <c r="FK16" s="110"/>
      <c r="FL16" s="110"/>
      <c r="FM16" s="110"/>
      <c r="FN16" s="110"/>
      <c r="FO16" s="110"/>
      <c r="FP16" s="110"/>
      <c r="FQ16" s="110"/>
      <c r="FR16" s="110"/>
      <c r="FS16" s="110"/>
      <c r="FT16" s="110"/>
      <c r="FU16" s="110"/>
      <c r="FV16" s="110"/>
      <c r="FW16" s="110"/>
      <c r="FX16" s="110"/>
      <c r="FY16" s="110"/>
      <c r="FZ16" s="110"/>
      <c r="GA16" s="110"/>
      <c r="GB16" s="110"/>
      <c r="GC16" s="110"/>
      <c r="GD16" s="110"/>
      <c r="GE16" s="110"/>
      <c r="GF16" s="110"/>
      <c r="GG16" s="110"/>
      <c r="GH16" s="110"/>
      <c r="GI16" s="110"/>
      <c r="GJ16" s="110"/>
      <c r="GK16" s="110"/>
      <c r="GL16" s="110"/>
      <c r="GM16" s="110"/>
      <c r="GN16" s="110"/>
      <c r="GO16" s="110"/>
      <c r="GP16" s="110"/>
      <c r="GQ16" s="110"/>
      <c r="GR16" s="110"/>
      <c r="GS16" s="110"/>
      <c r="GT16" s="110"/>
      <c r="GU16" s="110"/>
      <c r="GV16" s="110"/>
      <c r="GW16" s="110"/>
      <c r="GX16" s="110"/>
      <c r="GY16" s="110"/>
      <c r="GZ16" s="110"/>
      <c r="HA16" s="110"/>
      <c r="HB16" s="110"/>
      <c r="HC16" s="110"/>
      <c r="HD16" s="110"/>
      <c r="HE16" s="110"/>
      <c r="HF16" s="110"/>
      <c r="HG16" s="110"/>
      <c r="HH16" s="110"/>
      <c r="HI16" s="110"/>
      <c r="HJ16" s="110"/>
      <c r="HK16" s="110"/>
      <c r="HL16" s="110"/>
      <c r="HM16" s="110"/>
      <c r="HN16" s="110"/>
      <c r="HO16" s="110"/>
      <c r="HP16" s="110"/>
      <c r="HQ16" s="110"/>
      <c r="HR16" s="110"/>
      <c r="HS16" s="110"/>
      <c r="HT16" s="110"/>
      <c r="HU16" s="110"/>
      <c r="HV16" s="110"/>
      <c r="HW16" s="110"/>
      <c r="HX16" s="110"/>
      <c r="HY16" s="110"/>
      <c r="HZ16" s="110"/>
      <c r="IA16" s="110"/>
      <c r="IB16" s="110"/>
      <c r="IC16" s="110"/>
      <c r="ID16" s="110"/>
      <c r="IE16" s="110"/>
      <c r="IF16" s="110"/>
      <c r="IG16" s="110"/>
      <c r="IH16" s="110"/>
      <c r="II16" s="110"/>
      <c r="IJ16" s="110"/>
      <c r="IK16" s="110"/>
      <c r="IL16" s="110"/>
      <c r="IM16" s="110"/>
      <c r="IN16" s="110"/>
      <c r="IO16" s="110"/>
      <c r="IP16" s="110"/>
      <c r="IQ16" s="110"/>
    </row>
    <row r="17" spans="1:251" ht="15" customHeight="1">
      <c r="A17" s="77">
        <f>Lookups!I4</f>
        <v>3</v>
      </c>
      <c r="B17" s="78" t="str">
        <f>Lookups!J4</f>
        <v>Good</v>
      </c>
      <c r="C17" s="78" t="str">
        <f>Lookups!H4</f>
        <v>Significant evidence of implementation; limited impact</v>
      </c>
      <c r="D17" s="112"/>
      <c r="E17" s="112"/>
      <c r="F17" s="112"/>
      <c r="G17" s="112"/>
      <c r="H17" s="112"/>
      <c r="I17" s="112"/>
      <c r="J17" s="112"/>
      <c r="K17" s="112"/>
      <c r="L17" s="113"/>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0"/>
      <c r="CB17" s="110"/>
      <c r="CC17" s="110"/>
      <c r="CD17" s="110"/>
      <c r="CE17" s="110"/>
      <c r="CF17" s="110"/>
      <c r="CG17" s="110"/>
      <c r="CH17" s="110"/>
      <c r="CI17" s="110"/>
      <c r="CJ17" s="110"/>
      <c r="CK17" s="110"/>
      <c r="CL17" s="110"/>
      <c r="CM17" s="110"/>
      <c r="CN17" s="110"/>
      <c r="CO17" s="110"/>
      <c r="CP17" s="110"/>
      <c r="CQ17" s="110"/>
      <c r="CR17" s="110"/>
      <c r="CS17" s="110"/>
      <c r="CT17" s="110"/>
      <c r="CU17" s="110"/>
      <c r="CV17" s="110"/>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c r="FL17" s="110"/>
      <c r="FM17" s="110"/>
      <c r="FN17" s="110"/>
      <c r="FO17" s="110"/>
      <c r="FP17" s="110"/>
      <c r="FQ17" s="110"/>
      <c r="FR17" s="110"/>
      <c r="FS17" s="110"/>
      <c r="FT17" s="110"/>
      <c r="FU17" s="110"/>
      <c r="FV17" s="110"/>
      <c r="FW17" s="110"/>
      <c r="FX17" s="110"/>
      <c r="FY17" s="110"/>
      <c r="FZ17" s="110"/>
      <c r="GA17" s="110"/>
      <c r="GB17" s="110"/>
      <c r="GC17" s="110"/>
      <c r="GD17" s="110"/>
      <c r="GE17" s="110"/>
      <c r="GF17" s="110"/>
      <c r="GG17" s="110"/>
      <c r="GH17" s="110"/>
      <c r="GI17" s="110"/>
      <c r="GJ17" s="110"/>
      <c r="GK17" s="110"/>
      <c r="GL17" s="110"/>
      <c r="GM17" s="110"/>
      <c r="GN17" s="110"/>
      <c r="GO17" s="110"/>
      <c r="GP17" s="110"/>
      <c r="GQ17" s="110"/>
      <c r="GR17" s="110"/>
      <c r="GS17" s="110"/>
      <c r="GT17" s="110"/>
      <c r="GU17" s="110"/>
      <c r="GV17" s="110"/>
      <c r="GW17" s="110"/>
      <c r="GX17" s="110"/>
      <c r="GY17" s="110"/>
      <c r="GZ17" s="110"/>
      <c r="HA17" s="110"/>
      <c r="HB17" s="110"/>
      <c r="HC17" s="110"/>
      <c r="HD17" s="110"/>
      <c r="HE17" s="110"/>
      <c r="HF17" s="110"/>
      <c r="HG17" s="110"/>
      <c r="HH17" s="110"/>
      <c r="HI17" s="110"/>
      <c r="HJ17" s="110"/>
      <c r="HK17" s="110"/>
      <c r="HL17" s="110"/>
      <c r="HM17" s="110"/>
      <c r="HN17" s="110"/>
      <c r="HO17" s="110"/>
      <c r="HP17" s="110"/>
      <c r="HQ17" s="110"/>
      <c r="HR17" s="110"/>
      <c r="HS17" s="110"/>
      <c r="HT17" s="110"/>
      <c r="HU17" s="110"/>
      <c r="HV17" s="110"/>
      <c r="HW17" s="110"/>
      <c r="HX17" s="110"/>
      <c r="HY17" s="110"/>
      <c r="HZ17" s="110"/>
      <c r="IA17" s="110"/>
      <c r="IB17" s="110"/>
      <c r="IC17" s="110"/>
      <c r="ID17" s="110"/>
      <c r="IE17" s="110"/>
      <c r="IF17" s="110"/>
      <c r="IG17" s="110"/>
      <c r="IH17" s="110"/>
      <c r="II17" s="110"/>
      <c r="IJ17" s="110"/>
      <c r="IK17" s="110"/>
      <c r="IL17" s="110"/>
      <c r="IM17" s="110"/>
      <c r="IN17" s="110"/>
      <c r="IO17" s="110"/>
      <c r="IP17" s="110"/>
      <c r="IQ17" s="110"/>
    </row>
    <row r="18" spans="1:251" ht="15" customHeight="1">
      <c r="A18" s="77">
        <f>Lookups!I5</f>
        <v>4</v>
      </c>
      <c r="B18" s="78" t="str">
        <f>Lookups!J5</f>
        <v>Excellent</v>
      </c>
      <c r="C18" s="78" t="str">
        <f>Lookups!H5</f>
        <v>Full implementation; clear evidence of demonstrable impact</v>
      </c>
      <c r="D18" s="112"/>
      <c r="E18" s="112"/>
      <c r="F18" s="112"/>
      <c r="G18" s="112"/>
      <c r="H18" s="112"/>
      <c r="I18" s="112"/>
      <c r="J18" s="112"/>
      <c r="K18" s="112"/>
      <c r="L18" s="113"/>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c r="FQ18" s="110"/>
      <c r="FR18" s="110"/>
      <c r="FS18" s="110"/>
      <c r="FT18" s="110"/>
      <c r="FU18" s="110"/>
      <c r="FV18" s="110"/>
      <c r="FW18" s="110"/>
      <c r="FX18" s="110"/>
      <c r="FY18" s="110"/>
      <c r="FZ18" s="110"/>
      <c r="GA18" s="110"/>
      <c r="GB18" s="110"/>
      <c r="GC18" s="110"/>
      <c r="GD18" s="110"/>
      <c r="GE18" s="110"/>
      <c r="GF18" s="110"/>
      <c r="GG18" s="110"/>
      <c r="GH18" s="110"/>
      <c r="GI18" s="110"/>
      <c r="GJ18" s="110"/>
      <c r="GK18" s="110"/>
      <c r="GL18" s="110"/>
      <c r="GM18" s="110"/>
      <c r="GN18" s="110"/>
      <c r="GO18" s="110"/>
      <c r="GP18" s="110"/>
      <c r="GQ18" s="110"/>
      <c r="GR18" s="110"/>
      <c r="GS18" s="110"/>
      <c r="GT18" s="110"/>
      <c r="GU18" s="110"/>
      <c r="GV18" s="110"/>
      <c r="GW18" s="110"/>
      <c r="GX18" s="110"/>
      <c r="GY18" s="110"/>
      <c r="GZ18" s="110"/>
      <c r="HA18" s="110"/>
      <c r="HB18" s="110"/>
      <c r="HC18" s="110"/>
      <c r="HD18" s="110"/>
      <c r="HE18" s="110"/>
      <c r="HF18" s="110"/>
      <c r="HG18" s="110"/>
      <c r="HH18" s="110"/>
      <c r="HI18" s="110"/>
      <c r="HJ18" s="110"/>
      <c r="HK18" s="110"/>
      <c r="HL18" s="110"/>
      <c r="HM18" s="110"/>
      <c r="HN18" s="110"/>
      <c r="HO18" s="110"/>
      <c r="HP18" s="110"/>
      <c r="HQ18" s="110"/>
      <c r="HR18" s="110"/>
      <c r="HS18" s="110"/>
      <c r="HT18" s="110"/>
      <c r="HU18" s="110"/>
      <c r="HV18" s="110"/>
      <c r="HW18" s="110"/>
      <c r="HX18" s="110"/>
      <c r="HY18" s="110"/>
      <c r="HZ18" s="110"/>
      <c r="IA18" s="110"/>
      <c r="IB18" s="110"/>
      <c r="IC18" s="110"/>
      <c r="ID18" s="110"/>
      <c r="IE18" s="110"/>
      <c r="IF18" s="110"/>
      <c r="IG18" s="110"/>
      <c r="IH18" s="110"/>
      <c r="II18" s="110"/>
      <c r="IJ18" s="110"/>
      <c r="IK18" s="110"/>
      <c r="IL18" s="110"/>
      <c r="IM18" s="110"/>
      <c r="IN18" s="110"/>
      <c r="IO18" s="110"/>
      <c r="IP18" s="110"/>
      <c r="IQ18" s="110"/>
    </row>
    <row r="19" spans="1:251" ht="15" customHeight="1">
      <c r="A19" s="77">
        <f>Lookups!I6</f>
        <v>0</v>
      </c>
      <c r="B19" s="78">
        <f>Lookups!J6</f>
        <v>0</v>
      </c>
      <c r="C19" s="78">
        <f>Lookups!H6</f>
        <v>0</v>
      </c>
      <c r="D19" s="112"/>
      <c r="E19" s="112"/>
      <c r="F19" s="112"/>
      <c r="G19" s="112"/>
      <c r="H19" s="112"/>
      <c r="I19" s="112"/>
      <c r="J19" s="112"/>
      <c r="K19" s="112"/>
      <c r="L19" s="113"/>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c r="FQ19" s="110"/>
      <c r="FR19" s="110"/>
      <c r="FS19" s="110"/>
      <c r="FT19" s="110"/>
      <c r="FU19" s="110"/>
      <c r="FV19" s="110"/>
      <c r="FW19" s="110"/>
      <c r="FX19" s="110"/>
      <c r="FY19" s="110"/>
      <c r="FZ19" s="110"/>
      <c r="GA19" s="110"/>
      <c r="GB19" s="110"/>
      <c r="GC19" s="110"/>
      <c r="GD19" s="110"/>
      <c r="GE19" s="110"/>
      <c r="GF19" s="110"/>
      <c r="GG19" s="110"/>
      <c r="GH19" s="110"/>
      <c r="GI19" s="110"/>
      <c r="GJ19" s="110"/>
      <c r="GK19" s="110"/>
      <c r="GL19" s="110"/>
      <c r="GM19" s="110"/>
      <c r="GN19" s="110"/>
      <c r="GO19" s="110"/>
      <c r="GP19" s="110"/>
      <c r="GQ19" s="110"/>
      <c r="GR19" s="110"/>
      <c r="GS19" s="110"/>
      <c r="GT19" s="110"/>
      <c r="GU19" s="110"/>
      <c r="GV19" s="110"/>
      <c r="GW19" s="110"/>
      <c r="GX19" s="110"/>
      <c r="GY19" s="110"/>
      <c r="GZ19" s="110"/>
      <c r="HA19" s="110"/>
      <c r="HB19" s="110"/>
      <c r="HC19" s="110"/>
      <c r="HD19" s="110"/>
      <c r="HE19" s="110"/>
      <c r="HF19" s="110"/>
      <c r="HG19" s="110"/>
      <c r="HH19" s="110"/>
      <c r="HI19" s="110"/>
      <c r="HJ19" s="110"/>
      <c r="HK19" s="110"/>
      <c r="HL19" s="110"/>
      <c r="HM19" s="110"/>
      <c r="HN19" s="110"/>
      <c r="HO19" s="110"/>
      <c r="HP19" s="110"/>
      <c r="HQ19" s="110"/>
      <c r="HR19" s="110"/>
      <c r="HS19" s="110"/>
      <c r="HT19" s="110"/>
      <c r="HU19" s="110"/>
      <c r="HV19" s="110"/>
      <c r="HW19" s="110"/>
      <c r="HX19" s="110"/>
      <c r="HY19" s="110"/>
      <c r="HZ19" s="110"/>
      <c r="IA19" s="110"/>
      <c r="IB19" s="110"/>
      <c r="IC19" s="110"/>
      <c r="ID19" s="110"/>
      <c r="IE19" s="110"/>
      <c r="IF19" s="110"/>
      <c r="IG19" s="110"/>
      <c r="IH19" s="110"/>
      <c r="II19" s="110"/>
      <c r="IJ19" s="110"/>
      <c r="IK19" s="110"/>
      <c r="IL19" s="110"/>
      <c r="IM19" s="110"/>
      <c r="IN19" s="110"/>
      <c r="IO19" s="110"/>
      <c r="IP19" s="110"/>
      <c r="IQ19" s="110"/>
    </row>
    <row r="20" spans="1:251" ht="6" customHeight="1">
      <c r="A20" s="77"/>
      <c r="B20" s="78"/>
      <c r="C20" s="78"/>
      <c r="D20" s="112"/>
      <c r="E20" s="112"/>
      <c r="F20" s="112"/>
      <c r="G20" s="112"/>
      <c r="H20" s="112"/>
      <c r="I20" s="112"/>
      <c r="J20" s="112"/>
      <c r="K20" s="112"/>
      <c r="L20" s="113"/>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0"/>
      <c r="DD20" s="110"/>
      <c r="DE20" s="110"/>
      <c r="DF20" s="110"/>
      <c r="DG20" s="110"/>
      <c r="DH20" s="110"/>
      <c r="DI20" s="110"/>
      <c r="DJ20" s="110"/>
      <c r="DK20" s="110"/>
      <c r="DL20" s="110"/>
      <c r="DM20" s="110"/>
      <c r="DN20" s="110"/>
      <c r="DO20" s="110"/>
      <c r="DP20" s="110"/>
      <c r="DQ20" s="110"/>
      <c r="DR20" s="110"/>
      <c r="DS20" s="110"/>
      <c r="DT20" s="110"/>
      <c r="DU20" s="110"/>
      <c r="DV20" s="110"/>
      <c r="DW20" s="110"/>
      <c r="DX20" s="110"/>
      <c r="DY20" s="110"/>
      <c r="DZ20" s="110"/>
      <c r="EA20" s="110"/>
      <c r="EB20" s="110"/>
      <c r="EC20" s="110"/>
      <c r="ED20" s="110"/>
      <c r="EE20" s="110"/>
      <c r="EF20" s="110"/>
      <c r="EG20" s="110"/>
      <c r="EH20" s="110"/>
      <c r="EI20" s="110"/>
      <c r="EJ20" s="110"/>
      <c r="EK20" s="110"/>
      <c r="EL20" s="110"/>
      <c r="EM20" s="110"/>
      <c r="EN20" s="110"/>
      <c r="EO20" s="110"/>
      <c r="EP20" s="110"/>
      <c r="EQ20" s="110"/>
      <c r="ER20" s="110"/>
      <c r="ES20" s="110"/>
      <c r="ET20" s="110"/>
      <c r="EU20" s="110"/>
      <c r="EV20" s="110"/>
      <c r="EW20" s="110"/>
      <c r="EX20" s="110"/>
      <c r="EY20" s="110"/>
      <c r="EZ20" s="110"/>
      <c r="FA20" s="110"/>
      <c r="FB20" s="110"/>
      <c r="FC20" s="110"/>
      <c r="FD20" s="110"/>
      <c r="FE20" s="110"/>
      <c r="FF20" s="110"/>
      <c r="FG20" s="110"/>
      <c r="FH20" s="110"/>
      <c r="FI20" s="110"/>
      <c r="FJ20" s="110"/>
      <c r="FK20" s="110"/>
      <c r="FL20" s="110"/>
      <c r="FM20" s="110"/>
      <c r="FN20" s="110"/>
      <c r="FO20" s="110"/>
      <c r="FP20" s="110"/>
      <c r="FQ20" s="110"/>
      <c r="FR20" s="110"/>
      <c r="FS20" s="110"/>
      <c r="FT20" s="110"/>
      <c r="FU20" s="110"/>
      <c r="FV20" s="110"/>
      <c r="FW20" s="110"/>
      <c r="FX20" s="110"/>
      <c r="FY20" s="110"/>
      <c r="FZ20" s="110"/>
      <c r="GA20" s="110"/>
      <c r="GB20" s="110"/>
      <c r="GC20" s="110"/>
      <c r="GD20" s="110"/>
      <c r="GE20" s="110"/>
      <c r="GF20" s="110"/>
      <c r="GG20" s="110"/>
      <c r="GH20" s="110"/>
      <c r="GI20" s="110"/>
      <c r="GJ20" s="110"/>
      <c r="GK20" s="110"/>
      <c r="GL20" s="110"/>
      <c r="GM20" s="110"/>
      <c r="GN20" s="110"/>
      <c r="GO20" s="110"/>
      <c r="GP20" s="110"/>
      <c r="GQ20" s="110"/>
      <c r="GR20" s="110"/>
      <c r="GS20" s="110"/>
      <c r="GT20" s="110"/>
      <c r="GU20" s="110"/>
      <c r="GV20" s="110"/>
      <c r="GW20" s="110"/>
      <c r="GX20" s="110"/>
      <c r="GY20" s="110"/>
      <c r="GZ20" s="110"/>
      <c r="HA20" s="110"/>
      <c r="HB20" s="110"/>
      <c r="HC20" s="110"/>
      <c r="HD20" s="110"/>
      <c r="HE20" s="110"/>
      <c r="HF20" s="110"/>
      <c r="HG20" s="110"/>
      <c r="HH20" s="110"/>
      <c r="HI20" s="110"/>
      <c r="HJ20" s="110"/>
      <c r="HK20" s="110"/>
      <c r="HL20" s="110"/>
      <c r="HM20" s="110"/>
      <c r="HN20" s="110"/>
      <c r="HO20" s="110"/>
      <c r="HP20" s="110"/>
      <c r="HQ20" s="110"/>
      <c r="HR20" s="110"/>
      <c r="HS20" s="110"/>
      <c r="HT20" s="110"/>
      <c r="HU20" s="110"/>
      <c r="HV20" s="110"/>
      <c r="HW20" s="110"/>
      <c r="HX20" s="110"/>
      <c r="HY20" s="110"/>
      <c r="HZ20" s="110"/>
      <c r="IA20" s="110"/>
      <c r="IB20" s="110"/>
      <c r="IC20" s="110"/>
      <c r="ID20" s="110"/>
      <c r="IE20" s="110"/>
      <c r="IF20" s="110"/>
      <c r="IG20" s="110"/>
      <c r="IH20" s="110"/>
      <c r="II20" s="110"/>
      <c r="IJ20" s="110"/>
      <c r="IK20" s="110"/>
      <c r="IL20" s="110"/>
      <c r="IM20" s="110"/>
      <c r="IN20" s="110"/>
      <c r="IO20" s="110"/>
      <c r="IP20" s="110"/>
      <c r="IQ20" s="110"/>
    </row>
    <row r="21" spans="1:251" ht="15" customHeight="1">
      <c r="A21" s="169" t="str">
        <f>"Evidence for scoring and supporting documents can be added so that the completed "&amp;ToolName&amp;" serves as a useful system resource."</f>
        <v>Evidence for scoring and supporting documents can be added so that the completed NHSE England Demand and Capacity Planning Roadmap and Maturity Tool serves as a useful system resource.</v>
      </c>
      <c r="B21" s="170"/>
      <c r="C21" s="170"/>
      <c r="D21" s="170"/>
      <c r="E21" s="170"/>
      <c r="F21" s="170"/>
      <c r="G21" s="170"/>
      <c r="H21" s="170"/>
      <c r="I21" s="170"/>
      <c r="J21" s="170"/>
      <c r="K21" s="170"/>
      <c r="L21" s="171"/>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10"/>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c r="FQ21" s="110"/>
      <c r="FR21" s="110"/>
      <c r="FS21" s="110"/>
      <c r="FT21" s="110"/>
      <c r="FU21" s="110"/>
      <c r="FV21" s="110"/>
      <c r="FW21" s="110"/>
      <c r="FX21" s="110"/>
      <c r="FY21" s="110"/>
      <c r="FZ21" s="110"/>
      <c r="GA21" s="110"/>
      <c r="GB21" s="110"/>
      <c r="GC21" s="110"/>
      <c r="GD21" s="110"/>
      <c r="GE21" s="110"/>
      <c r="GF21" s="110"/>
      <c r="GG21" s="110"/>
      <c r="GH21" s="110"/>
      <c r="GI21" s="110"/>
      <c r="GJ21" s="110"/>
      <c r="GK21" s="110"/>
      <c r="GL21" s="110"/>
      <c r="GM21" s="110"/>
      <c r="GN21" s="110"/>
      <c r="GO21" s="110"/>
      <c r="GP21" s="110"/>
      <c r="GQ21" s="110"/>
      <c r="GR21" s="110"/>
      <c r="GS21" s="110"/>
      <c r="GT21" s="110"/>
      <c r="GU21" s="110"/>
      <c r="GV21" s="110"/>
      <c r="GW21" s="110"/>
      <c r="GX21" s="110"/>
      <c r="GY21" s="110"/>
      <c r="GZ21" s="110"/>
      <c r="HA21" s="110"/>
      <c r="HB21" s="110"/>
      <c r="HC21" s="110"/>
      <c r="HD21" s="110"/>
      <c r="HE21" s="110"/>
      <c r="HF21" s="110"/>
      <c r="HG21" s="110"/>
      <c r="HH21" s="110"/>
      <c r="HI21" s="110"/>
      <c r="HJ21" s="110"/>
      <c r="HK21" s="110"/>
      <c r="HL21" s="110"/>
      <c r="HM21" s="110"/>
      <c r="HN21" s="110"/>
      <c r="HO21" s="110"/>
      <c r="HP21" s="110"/>
      <c r="HQ21" s="110"/>
      <c r="HR21" s="110"/>
      <c r="HS21" s="110"/>
      <c r="HT21" s="110"/>
      <c r="HU21" s="110"/>
      <c r="HV21" s="110"/>
      <c r="HW21" s="110"/>
      <c r="HX21" s="110"/>
      <c r="HY21" s="110"/>
      <c r="HZ21" s="110"/>
      <c r="IA21" s="110"/>
      <c r="IB21" s="110"/>
      <c r="IC21" s="110"/>
      <c r="ID21" s="110"/>
      <c r="IE21" s="110"/>
      <c r="IF21" s="110"/>
      <c r="IG21" s="110"/>
      <c r="IH21" s="110"/>
      <c r="II21" s="110"/>
      <c r="IJ21" s="110"/>
      <c r="IK21" s="110"/>
      <c r="IL21" s="110"/>
      <c r="IM21" s="110"/>
      <c r="IN21" s="110"/>
      <c r="IO21" s="110"/>
      <c r="IP21" s="110"/>
      <c r="IQ21" s="110"/>
    </row>
    <row r="22" spans="1:251" ht="25.5" customHeight="1">
      <c r="A22" s="169"/>
      <c r="B22" s="170"/>
      <c r="C22" s="170"/>
      <c r="D22" s="170"/>
      <c r="E22" s="170"/>
      <c r="F22" s="170"/>
      <c r="G22" s="170"/>
      <c r="H22" s="170"/>
      <c r="I22" s="170"/>
      <c r="J22" s="170"/>
      <c r="K22" s="170"/>
      <c r="L22" s="171"/>
    </row>
    <row r="23" spans="1:251" ht="23.25" customHeight="1">
      <c r="A23" s="69"/>
      <c r="B23" s="5"/>
      <c r="C23" s="5"/>
      <c r="D23" s="5"/>
      <c r="E23" s="5"/>
      <c r="F23" s="5"/>
      <c r="G23" s="5"/>
      <c r="H23" s="5"/>
      <c r="I23" s="5"/>
      <c r="J23" s="5"/>
      <c r="K23" s="5"/>
      <c r="L23" s="42"/>
    </row>
    <row r="24" spans="1:251" ht="15" customHeight="1">
      <c r="A24" s="114" t="s">
        <v>151</v>
      </c>
      <c r="B24" s="115"/>
      <c r="C24" s="115"/>
      <c r="D24" s="115"/>
      <c r="E24" s="115"/>
      <c r="F24" s="115"/>
      <c r="G24" s="115"/>
      <c r="H24" s="115"/>
      <c r="I24" s="115"/>
      <c r="J24" s="115"/>
      <c r="K24" s="115"/>
      <c r="L24" s="116"/>
      <c r="M24" s="134"/>
      <c r="N24" s="134"/>
      <c r="O24" s="134"/>
      <c r="P24" s="134"/>
      <c r="Q24" s="134"/>
      <c r="R24" s="134"/>
      <c r="S24" s="134"/>
      <c r="T24" s="134"/>
      <c r="U24" s="134"/>
      <c r="V24" s="134"/>
      <c r="W24" s="134"/>
      <c r="X24" s="134"/>
      <c r="Y24" s="135"/>
      <c r="Z24" s="133"/>
      <c r="AA24" s="134"/>
      <c r="AB24" s="134"/>
      <c r="AC24" s="134"/>
      <c r="AD24" s="134"/>
      <c r="AE24" s="134"/>
      <c r="AF24" s="134"/>
      <c r="AG24" s="134"/>
      <c r="AH24" s="134"/>
      <c r="AI24" s="134"/>
      <c r="AJ24" s="134"/>
      <c r="AK24" s="134"/>
      <c r="AL24" s="134"/>
      <c r="AM24" s="134"/>
      <c r="AN24" s="135"/>
      <c r="AO24" s="133"/>
      <c r="AP24" s="134"/>
      <c r="AQ24" s="134"/>
      <c r="AR24" s="134"/>
      <c r="AS24" s="134"/>
      <c r="AT24" s="134"/>
      <c r="AU24" s="134"/>
      <c r="AV24" s="134"/>
      <c r="AW24" s="134"/>
      <c r="AX24" s="134"/>
      <c r="AY24" s="134"/>
      <c r="AZ24" s="134"/>
      <c r="BA24" s="134"/>
      <c r="BB24" s="134"/>
      <c r="BC24" s="135"/>
      <c r="BD24" s="133"/>
      <c r="BE24" s="134"/>
      <c r="BF24" s="134"/>
      <c r="BG24" s="134"/>
      <c r="BH24" s="134"/>
      <c r="BI24" s="134"/>
      <c r="BJ24" s="134"/>
      <c r="BK24" s="134"/>
      <c r="BL24" s="134"/>
      <c r="BM24" s="134"/>
      <c r="BN24" s="134"/>
      <c r="BO24" s="134"/>
      <c r="BP24" s="134"/>
      <c r="BQ24" s="134"/>
      <c r="BR24" s="135"/>
      <c r="BS24" s="133"/>
      <c r="BT24" s="134"/>
      <c r="BU24" s="134"/>
      <c r="BV24" s="134"/>
      <c r="BW24" s="134"/>
      <c r="BX24" s="134"/>
      <c r="BY24" s="134"/>
      <c r="BZ24" s="134"/>
      <c r="CA24" s="134"/>
      <c r="CB24" s="134"/>
      <c r="CC24" s="134"/>
      <c r="CD24" s="134"/>
      <c r="CE24" s="134"/>
      <c r="CF24" s="134"/>
      <c r="CG24" s="135"/>
      <c r="CH24" s="133"/>
      <c r="CI24" s="134"/>
      <c r="CJ24" s="134"/>
      <c r="CK24" s="134"/>
      <c r="CL24" s="134"/>
      <c r="CM24" s="134"/>
      <c r="CN24" s="134"/>
      <c r="CO24" s="134"/>
      <c r="CP24" s="134"/>
      <c r="CQ24" s="134"/>
      <c r="CR24" s="134"/>
      <c r="CS24" s="134"/>
      <c r="CT24" s="134"/>
      <c r="CU24" s="134"/>
      <c r="CV24" s="135"/>
      <c r="CW24" s="133"/>
      <c r="CX24" s="134"/>
      <c r="CY24" s="134"/>
      <c r="CZ24" s="134"/>
      <c r="DA24" s="134"/>
      <c r="DB24" s="134"/>
      <c r="DC24" s="134"/>
      <c r="DD24" s="134"/>
      <c r="DE24" s="134"/>
      <c r="DF24" s="134"/>
      <c r="DG24" s="134"/>
      <c r="DH24" s="134"/>
      <c r="DI24" s="134"/>
      <c r="DJ24" s="134"/>
      <c r="DK24" s="135"/>
      <c r="DL24" s="133"/>
      <c r="DM24" s="134"/>
      <c r="DN24" s="134"/>
      <c r="DO24" s="134"/>
      <c r="DP24" s="134"/>
      <c r="DQ24" s="134"/>
      <c r="DR24" s="134"/>
      <c r="DS24" s="134"/>
      <c r="DT24" s="134"/>
      <c r="DU24" s="134"/>
      <c r="DV24" s="134"/>
      <c r="DW24" s="134"/>
      <c r="DX24" s="134"/>
      <c r="DY24" s="134"/>
      <c r="DZ24" s="135"/>
      <c r="EA24" s="133"/>
      <c r="EB24" s="134"/>
      <c r="EC24" s="134"/>
      <c r="ED24" s="134"/>
      <c r="EE24" s="134"/>
      <c r="EF24" s="134"/>
      <c r="EG24" s="134"/>
      <c r="EH24" s="134"/>
      <c r="EI24" s="134"/>
      <c r="EJ24" s="134"/>
      <c r="EK24" s="134"/>
      <c r="EL24" s="134"/>
      <c r="EM24" s="134"/>
      <c r="EN24" s="134"/>
      <c r="EO24" s="135"/>
      <c r="EP24" s="133"/>
      <c r="EQ24" s="134"/>
      <c r="ER24" s="134"/>
      <c r="ES24" s="134"/>
      <c r="ET24" s="134"/>
      <c r="EU24" s="134"/>
      <c r="EV24" s="134"/>
      <c r="EW24" s="134"/>
      <c r="EX24" s="134"/>
      <c r="EY24" s="134"/>
      <c r="EZ24" s="134"/>
      <c r="FA24" s="134"/>
      <c r="FB24" s="134"/>
      <c r="FC24" s="134"/>
      <c r="FD24" s="135"/>
      <c r="FE24" s="133"/>
      <c r="FF24" s="134"/>
      <c r="FG24" s="134"/>
      <c r="FH24" s="134"/>
      <c r="FI24" s="134"/>
      <c r="FJ24" s="134"/>
      <c r="FK24" s="134"/>
      <c r="FL24" s="134"/>
      <c r="FM24" s="134"/>
      <c r="FN24" s="134"/>
      <c r="FO24" s="134"/>
      <c r="FP24" s="134"/>
      <c r="FQ24" s="134"/>
      <c r="FR24" s="134"/>
      <c r="FS24" s="135"/>
      <c r="FT24" s="133"/>
      <c r="FU24" s="134"/>
      <c r="FV24" s="134"/>
      <c r="FW24" s="134"/>
      <c r="FX24" s="134"/>
      <c r="FY24" s="134"/>
      <c r="FZ24" s="134"/>
      <c r="GA24" s="134"/>
      <c r="GB24" s="134"/>
      <c r="GC24" s="134"/>
      <c r="GD24" s="134"/>
      <c r="GE24" s="134"/>
      <c r="GF24" s="134"/>
      <c r="GG24" s="134"/>
      <c r="GH24" s="135"/>
      <c r="GI24" s="133"/>
      <c r="GJ24" s="134"/>
      <c r="GK24" s="134"/>
      <c r="GL24" s="134"/>
      <c r="GM24" s="134"/>
      <c r="GN24" s="134"/>
      <c r="GO24" s="134"/>
      <c r="GP24" s="134"/>
      <c r="GQ24" s="134"/>
      <c r="GR24" s="134"/>
      <c r="GS24" s="134"/>
      <c r="GT24" s="134"/>
      <c r="GU24" s="134"/>
      <c r="GV24" s="134"/>
      <c r="GW24" s="135"/>
      <c r="GX24" s="133"/>
      <c r="GY24" s="134"/>
      <c r="GZ24" s="134"/>
      <c r="HA24" s="134"/>
      <c r="HB24" s="134"/>
      <c r="HC24" s="134"/>
      <c r="HD24" s="134"/>
      <c r="HE24" s="134"/>
      <c r="HF24" s="134"/>
      <c r="HG24" s="134"/>
      <c r="HH24" s="134"/>
      <c r="HI24" s="134"/>
      <c r="HJ24" s="134"/>
      <c r="HK24" s="134"/>
      <c r="HL24" s="135"/>
      <c r="HM24" s="133"/>
      <c r="HN24" s="134"/>
      <c r="HO24" s="134"/>
      <c r="HP24" s="134"/>
      <c r="HQ24" s="134"/>
      <c r="HR24" s="134"/>
      <c r="HS24" s="134"/>
      <c r="HT24" s="134"/>
      <c r="HU24" s="134"/>
      <c r="HV24" s="134"/>
      <c r="HW24" s="134"/>
      <c r="HX24" s="134"/>
      <c r="HY24" s="134"/>
      <c r="HZ24" s="134"/>
      <c r="IA24" s="135"/>
      <c r="IB24" s="133"/>
      <c r="IC24" s="134"/>
      <c r="ID24" s="134"/>
      <c r="IE24" s="134"/>
      <c r="IF24" s="134"/>
      <c r="IG24" s="134"/>
      <c r="IH24" s="134"/>
      <c r="II24" s="134"/>
      <c r="IJ24" s="134"/>
      <c r="IK24" s="134"/>
      <c r="IL24" s="134"/>
      <c r="IM24" s="134"/>
      <c r="IN24" s="134"/>
      <c r="IO24" s="134"/>
      <c r="IP24" s="135"/>
      <c r="IQ24" s="109"/>
    </row>
    <row r="25" spans="1:251" ht="89.45" customHeight="1">
      <c r="A25" s="151" t="str">
        <f>Domain01</f>
        <v>Strategy and Governance</v>
      </c>
      <c r="B25" s="152"/>
      <c r="C25" s="157" t="s">
        <v>134</v>
      </c>
      <c r="D25" s="157"/>
      <c r="E25" s="157"/>
      <c r="F25" s="157"/>
      <c r="G25" s="157"/>
      <c r="H25" s="157"/>
      <c r="I25" s="157"/>
      <c r="J25" s="157"/>
      <c r="K25" s="157"/>
      <c r="L25" s="158"/>
    </row>
    <row r="26" spans="1:251" ht="105" customHeight="1">
      <c r="A26" s="153" t="str">
        <f>Domain02</f>
        <v>Operational Processes</v>
      </c>
      <c r="B26" s="154"/>
      <c r="C26" s="149" t="s">
        <v>135</v>
      </c>
      <c r="D26" s="149"/>
      <c r="E26" s="149"/>
      <c r="F26" s="149"/>
      <c r="G26" s="149"/>
      <c r="H26" s="149"/>
      <c r="I26" s="149"/>
      <c r="J26" s="149"/>
      <c r="K26" s="149"/>
      <c r="L26" s="150"/>
    </row>
    <row r="27" spans="1:251" ht="135.6" customHeight="1">
      <c r="A27" s="155" t="str">
        <f>Domain03</f>
        <v>Data and Informatics</v>
      </c>
      <c r="B27" s="156"/>
      <c r="C27" s="157" t="s">
        <v>136</v>
      </c>
      <c r="D27" s="157"/>
      <c r="E27" s="157"/>
      <c r="F27" s="157"/>
      <c r="G27" s="157"/>
      <c r="H27" s="157"/>
      <c r="I27" s="157"/>
      <c r="J27" s="157"/>
      <c r="K27" s="157"/>
      <c r="L27" s="158"/>
    </row>
    <row r="38" spans="1:12" ht="15.6" customHeight="1"/>
    <row r="44" spans="1:12" ht="5.45" customHeight="1"/>
    <row r="45" spans="1:12" ht="23.25" customHeight="1"/>
    <row r="46" spans="1:12" s="56" customFormat="1" ht="30" customHeight="1">
      <c r="A46" s="1"/>
      <c r="B46" s="1"/>
      <c r="C46" s="1"/>
      <c r="D46" s="1"/>
      <c r="E46" s="1"/>
      <c r="F46" s="1"/>
      <c r="G46" s="1"/>
      <c r="H46" s="1"/>
      <c r="I46" s="1"/>
      <c r="J46" s="1"/>
      <c r="K46" s="1"/>
      <c r="L46" s="1"/>
    </row>
    <row r="47" spans="1:12" s="56" customFormat="1" ht="30" customHeight="1">
      <c r="A47" s="1"/>
      <c r="B47" s="1"/>
      <c r="C47" s="1"/>
      <c r="D47" s="1"/>
      <c r="E47" s="1"/>
      <c r="F47" s="1"/>
      <c r="G47" s="1"/>
      <c r="H47" s="1"/>
      <c r="I47" s="1"/>
      <c r="J47" s="1"/>
      <c r="K47" s="1"/>
      <c r="L47" s="1"/>
    </row>
    <row r="48" spans="1:12" s="56" customFormat="1" ht="30" customHeight="1">
      <c r="A48" s="1"/>
      <c r="B48" s="1"/>
      <c r="C48" s="1"/>
      <c r="D48" s="1"/>
      <c r="E48" s="1"/>
      <c r="F48" s="1"/>
      <c r="G48" s="1"/>
      <c r="H48" s="1"/>
      <c r="I48" s="1"/>
      <c r="J48" s="1"/>
      <c r="K48" s="1"/>
      <c r="L48" s="1"/>
    </row>
    <row r="49" spans="1:12" s="56" customFormat="1" ht="30" customHeight="1">
      <c r="A49" s="1"/>
      <c r="B49" s="1"/>
      <c r="C49" s="1"/>
      <c r="D49" s="1"/>
      <c r="E49" s="1"/>
      <c r="F49" s="1"/>
      <c r="G49" s="1"/>
      <c r="H49" s="1"/>
      <c r="I49" s="1"/>
      <c r="J49" s="1"/>
      <c r="K49" s="1"/>
      <c r="L49" s="1"/>
    </row>
    <row r="50" spans="1:12" s="56" customFormat="1" ht="30" customHeight="1">
      <c r="A50" s="1"/>
      <c r="B50" s="1"/>
      <c r="C50" s="1"/>
      <c r="D50" s="1"/>
      <c r="E50" s="1"/>
      <c r="F50" s="1"/>
      <c r="G50" s="1"/>
      <c r="H50" s="1"/>
      <c r="I50" s="1"/>
      <c r="J50" s="1"/>
      <c r="K50" s="1"/>
      <c r="L50" s="1"/>
    </row>
    <row r="51" spans="1:12" s="56" customFormat="1" ht="15">
      <c r="A51" s="1"/>
      <c r="B51" s="1"/>
      <c r="C51" s="1"/>
      <c r="D51" s="1"/>
      <c r="E51" s="1"/>
      <c r="F51" s="1"/>
      <c r="G51" s="1"/>
      <c r="H51" s="1"/>
      <c r="I51" s="1"/>
      <c r="J51" s="1"/>
      <c r="K51" s="1"/>
      <c r="L51" s="1"/>
    </row>
    <row r="52" spans="1:12" s="56" customFormat="1" ht="30" customHeight="1">
      <c r="A52" s="1"/>
      <c r="B52" s="1"/>
      <c r="C52" s="1"/>
      <c r="D52" s="1"/>
      <c r="E52" s="1"/>
      <c r="F52" s="1"/>
      <c r="G52" s="1"/>
      <c r="H52" s="1"/>
      <c r="I52" s="1"/>
      <c r="J52" s="1"/>
      <c r="K52" s="1"/>
      <c r="L52" s="1"/>
    </row>
    <row r="53" spans="1:12" s="56" customFormat="1" ht="15">
      <c r="A53" s="1"/>
      <c r="B53" s="1"/>
      <c r="C53" s="1"/>
      <c r="D53" s="1"/>
      <c r="E53" s="1"/>
      <c r="F53" s="1"/>
      <c r="G53" s="1"/>
      <c r="H53" s="1"/>
      <c r="I53" s="1"/>
      <c r="J53" s="1"/>
      <c r="K53" s="1"/>
      <c r="L53" s="1"/>
    </row>
    <row r="54" spans="1:12" s="56" customFormat="1" ht="30" customHeight="1">
      <c r="A54" s="1"/>
      <c r="B54" s="1"/>
      <c r="C54" s="1"/>
      <c r="D54" s="1"/>
      <c r="E54" s="1"/>
      <c r="F54" s="1"/>
      <c r="G54" s="1"/>
      <c r="H54" s="1"/>
      <c r="I54" s="1"/>
      <c r="J54" s="1"/>
      <c r="K54" s="1"/>
      <c r="L54" s="1"/>
    </row>
  </sheetData>
  <sheetProtection algorithmName="SHA-512" hashValue="GwXyL6kZP0qn1k9g+AfcB20fDpWJ/m3AGooAwS8LdDTE73nZPh3CCaUv3NlSV+trUBD1ap/28LD57WyFTEziJg==" saltValue="UwplV+Z3cu9n8nFXcGkucw==" spinCount="100000" sheet="1" objects="1" scenarios="1"/>
  <mergeCells count="46">
    <mergeCell ref="IB13:IP13"/>
    <mergeCell ref="EP13:FD13"/>
    <mergeCell ref="FE13:FS13"/>
    <mergeCell ref="A21:L22"/>
    <mergeCell ref="GI24:GW24"/>
    <mergeCell ref="GX24:HL24"/>
    <mergeCell ref="M24:Y24"/>
    <mergeCell ref="Z24:AN24"/>
    <mergeCell ref="IB24:IP24"/>
    <mergeCell ref="FE24:FS24"/>
    <mergeCell ref="FT24:GH24"/>
    <mergeCell ref="AO24:BC24"/>
    <mergeCell ref="BD24:BR24"/>
    <mergeCell ref="BS24:CG24"/>
    <mergeCell ref="CH24:CV24"/>
    <mergeCell ref="CW24:DK24"/>
    <mergeCell ref="HM24:IA24"/>
    <mergeCell ref="A10:L10"/>
    <mergeCell ref="A13:L13"/>
    <mergeCell ref="M13:Y13"/>
    <mergeCell ref="A11:H11"/>
    <mergeCell ref="GX13:HL13"/>
    <mergeCell ref="HM13:IA13"/>
    <mergeCell ref="A2:L2"/>
    <mergeCell ref="A3:L3"/>
    <mergeCell ref="B6:G6"/>
    <mergeCell ref="H6:J6"/>
    <mergeCell ref="GI13:GW13"/>
    <mergeCell ref="CH13:CV13"/>
    <mergeCell ref="CW13:DK13"/>
    <mergeCell ref="DL13:DZ13"/>
    <mergeCell ref="EA13:EO13"/>
    <mergeCell ref="BS13:CG13"/>
    <mergeCell ref="Z13:AN13"/>
    <mergeCell ref="A25:B25"/>
    <mergeCell ref="A26:B26"/>
    <mergeCell ref="FT13:GH13"/>
    <mergeCell ref="AO13:BC13"/>
    <mergeCell ref="A27:B27"/>
    <mergeCell ref="C25:L25"/>
    <mergeCell ref="C26:L26"/>
    <mergeCell ref="C27:L27"/>
    <mergeCell ref="BD13:BR13"/>
    <mergeCell ref="DL24:DZ24"/>
    <mergeCell ref="EA24:EO24"/>
    <mergeCell ref="EP24:FD24"/>
  </mergeCells>
  <dataValidations count="2">
    <dataValidation type="date" operator="greaterThan" allowBlank="1" showInputMessage="1" showErrorMessage="1" sqref="K6 D8 G8:H8 K8" xr:uid="{8702018C-47A7-4411-87C6-C1CB73269960}">
      <formula1>42736</formula1>
    </dataValidation>
    <dataValidation allowBlank="1" sqref="B6:C6" xr:uid="{0F947A06-B55B-49AF-84D4-DC6F50E4F920}"/>
  </dataValidations>
  <hyperlinks>
    <hyperlink ref="A25:B25" location="'Operational Processes'!A1" display="'Operational Processes'!A1" xr:uid="{D4AA84D8-D34A-4F93-A2D1-CC3952A1B799}"/>
    <hyperlink ref="A26:B26" location="Access!F7" display="Access!F7" xr:uid="{C7EDB288-6663-4711-AA33-7A5AF441E592}"/>
    <hyperlink ref="A27:B27" location="'Digital and Informatics'!A1" display="'Digital and Informatics'!A1" xr:uid="{97B528DF-F5A2-4154-AD14-280110AE0D25}"/>
  </hyperlinks>
  <pageMargins left="0.39370078740157483" right="0.39370078740157483" top="1.5748031496062993" bottom="0.59055118110236227" header="0.59055118110236227" footer="0"/>
  <pageSetup paperSize="9" scale="10" orientation="portrait" errors="blank"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E115-DCA1-44A9-B44A-D6DB2957A9CE}">
  <sheetPr>
    <outlinePr summaryBelow="0" summaryRight="0"/>
    <pageSetUpPr fitToPage="1"/>
  </sheetPr>
  <dimension ref="A1:AX37"/>
  <sheetViews>
    <sheetView showGridLines="0" showRowColHeaders="0" zoomScale="70" zoomScaleNormal="70" workbookViewId="0">
      <selection activeCell="I27" sqref="I27"/>
    </sheetView>
  </sheetViews>
  <sheetFormatPr defaultColWidth="9" defaultRowHeight="14.25"/>
  <cols>
    <col min="1" max="1" width="1.625" style="1" customWidth="1"/>
    <col min="2" max="3" width="4.125" style="4" customWidth="1"/>
    <col min="4" max="4" width="44.375" style="1" customWidth="1"/>
    <col min="5" max="5" width="10.25" style="1" customWidth="1"/>
    <col min="6" max="7" width="48.625" customWidth="1"/>
    <col min="8" max="8" width="9" style="1" customWidth="1"/>
    <col min="9" max="9" width="9.625" style="1" customWidth="1"/>
    <col min="10" max="10" width="9.125" style="2" customWidth="1"/>
    <col min="11" max="11" width="1.375" style="2" customWidth="1"/>
    <col min="12" max="13" width="9" style="2"/>
    <col min="14" max="14" width="9" style="7"/>
    <col min="15" max="46" width="9" style="2"/>
    <col min="47" max="16384" width="9" style="1"/>
  </cols>
  <sheetData>
    <row r="1" spans="1:50">
      <c r="AU1" s="3"/>
      <c r="AV1" s="3"/>
      <c r="AW1" s="3"/>
      <c r="AX1" s="3"/>
    </row>
    <row r="2" spans="1:50" ht="54" customHeight="1">
      <c r="A2" s="193" t="str">
        <f>Domain01 &amp; " - " &amp; ToolName</f>
        <v>Strategy and Governance - NHSE England Demand and Capacity Planning Roadmap and Maturity Tool</v>
      </c>
      <c r="B2" s="194"/>
      <c r="C2" s="194"/>
      <c r="D2" s="194"/>
      <c r="E2" s="194"/>
      <c r="F2" s="194"/>
      <c r="G2" s="194"/>
      <c r="H2" s="194"/>
      <c r="I2" s="194"/>
      <c r="J2" s="194"/>
      <c r="K2" s="195"/>
      <c r="AU2" s="3"/>
      <c r="AV2" s="3"/>
      <c r="AW2" s="3"/>
      <c r="AX2" s="3"/>
    </row>
    <row r="3" spans="1:50" ht="23.25" customHeight="1">
      <c r="A3" s="142" t="str">
        <f>"Domain 1 - " &amp; Domain01</f>
        <v>Domain 1 - Strategy and Governance</v>
      </c>
      <c r="B3" s="143"/>
      <c r="C3" s="143"/>
      <c r="D3" s="143"/>
      <c r="E3" s="143"/>
      <c r="F3" s="143"/>
      <c r="G3" s="143"/>
      <c r="H3" s="143"/>
      <c r="I3" s="143"/>
      <c r="J3" s="143"/>
      <c r="K3" s="144"/>
      <c r="AU3" s="3"/>
      <c r="AV3" s="3"/>
      <c r="AW3" s="3"/>
      <c r="AX3" s="3"/>
    </row>
    <row r="4" spans="1:50" ht="12.75" customHeight="1" thickBot="1">
      <c r="A4" s="18"/>
      <c r="D4" s="9"/>
      <c r="E4" s="9"/>
      <c r="F4" s="80"/>
      <c r="G4" s="80"/>
      <c r="H4" s="4"/>
      <c r="I4" s="4"/>
      <c r="J4" s="4"/>
      <c r="K4" s="19"/>
      <c r="AU4" s="3"/>
      <c r="AV4" s="3"/>
      <c r="AW4" s="3"/>
      <c r="AX4" s="3"/>
    </row>
    <row r="5" spans="1:50" ht="12.75" customHeight="1">
      <c r="A5" s="18"/>
      <c r="B5" s="196"/>
      <c r="C5" s="198" t="s">
        <v>20</v>
      </c>
      <c r="D5" s="198"/>
      <c r="E5" s="200" t="s">
        <v>21</v>
      </c>
      <c r="F5" s="202" t="s">
        <v>22</v>
      </c>
      <c r="G5" s="204" t="s">
        <v>23</v>
      </c>
      <c r="H5" s="206" t="s">
        <v>24</v>
      </c>
      <c r="I5" s="206"/>
      <c r="J5" s="207"/>
      <c r="K5" s="19"/>
      <c r="AU5" s="3"/>
      <c r="AV5" s="3"/>
      <c r="AW5" s="3"/>
      <c r="AX5" s="3"/>
    </row>
    <row r="6" spans="1:50" ht="12.75" customHeight="1" thickBot="1">
      <c r="A6" s="18"/>
      <c r="B6" s="197"/>
      <c r="C6" s="199"/>
      <c r="D6" s="199"/>
      <c r="E6" s="201" t="s">
        <v>25</v>
      </c>
      <c r="F6" s="203"/>
      <c r="G6" s="205"/>
      <c r="H6" s="11">
        <f>IF(ReviewDate1="","",ReviewDate1)</f>
        <v>44927</v>
      </c>
      <c r="I6" s="11">
        <f>IF(ReviewDate2="","",ReviewDate2)</f>
        <v>45114</v>
      </c>
      <c r="J6" s="12">
        <f>IF(ReviewDate3="","",ReviewDate3)</f>
        <v>45272</v>
      </c>
      <c r="K6" s="19"/>
      <c r="AU6" s="3"/>
      <c r="AV6" s="3"/>
      <c r="AW6" s="3"/>
      <c r="AX6" s="3"/>
    </row>
    <row r="7" spans="1:50" s="5" customFormat="1" ht="49.5" customHeight="1">
      <c r="A7" s="41"/>
      <c r="B7" s="34">
        <v>1.1000000000000001</v>
      </c>
      <c r="C7" s="172" t="str">
        <f>VLOOKUP(B7,Lookups!$E$8:$F$57,2,FALSE)</f>
        <v xml:space="preserve">Demand and capacity modelling is sustainably embedded in routine planning and management activity at all levels. </v>
      </c>
      <c r="D7" s="172"/>
      <c r="E7" s="16" t="s">
        <v>27</v>
      </c>
      <c r="F7" s="79"/>
      <c r="G7" s="79" t="s">
        <v>130</v>
      </c>
      <c r="H7" s="16" t="s">
        <v>27</v>
      </c>
      <c r="I7" s="16" t="s">
        <v>27</v>
      </c>
      <c r="J7" s="16" t="s">
        <v>27</v>
      </c>
      <c r="K7" s="123"/>
      <c r="L7" s="120"/>
      <c r="M7" s="120"/>
      <c r="N7" s="121"/>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0"/>
      <c r="AN7" s="120"/>
      <c r="AO7" s="120"/>
      <c r="AP7" s="120"/>
      <c r="AQ7" s="120"/>
      <c r="AR7" s="120"/>
      <c r="AS7" s="120"/>
      <c r="AT7" s="120"/>
      <c r="AU7" s="122"/>
      <c r="AV7" s="122"/>
      <c r="AW7" s="122"/>
      <c r="AX7" s="122"/>
    </row>
    <row r="8" spans="1:50" s="5" customFormat="1" ht="14.1" customHeight="1">
      <c r="A8" s="41"/>
      <c r="B8" s="173" t="str">
        <f>KLOES</f>
        <v>Scenarios</v>
      </c>
      <c r="C8" s="174"/>
      <c r="D8" s="179" t="str">
        <f>level1&amp;": Planning takes place on an ad hoc / yearly basis."</f>
        <v>Nothing: Planning takes place on an ad hoc / yearly basis.</v>
      </c>
      <c r="E8" s="180"/>
      <c r="F8" s="180"/>
      <c r="G8" s="180"/>
      <c r="H8" s="180"/>
      <c r="I8" s="180"/>
      <c r="J8" s="181"/>
      <c r="K8" s="123"/>
      <c r="L8" s="120"/>
      <c r="M8" s="120"/>
      <c r="N8" s="121"/>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2"/>
      <c r="AV8" s="122"/>
      <c r="AW8" s="122"/>
      <c r="AX8" s="122"/>
    </row>
    <row r="9" spans="1:50" s="5" customFormat="1" ht="14.1" customHeight="1">
      <c r="A9" s="41"/>
      <c r="B9" s="175"/>
      <c r="C9" s="176"/>
      <c r="D9" s="182" t="str">
        <f>level2 &amp; ": Modelling takes place at least annually, and is linked to annual planning cycles."</f>
        <v>Fair: Modelling takes place at least annually, and is linked to annual planning cycles.</v>
      </c>
      <c r="E9" s="183"/>
      <c r="F9" s="183"/>
      <c r="G9" s="183"/>
      <c r="H9" s="183"/>
      <c r="I9" s="183"/>
      <c r="J9" s="184"/>
      <c r="K9" s="123"/>
      <c r="L9" s="120"/>
      <c r="M9" s="120"/>
      <c r="N9" s="121"/>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2"/>
      <c r="AV9" s="122"/>
      <c r="AW9" s="122"/>
      <c r="AX9" s="122"/>
    </row>
    <row r="10" spans="1:50" s="5" customFormat="1" ht="31.5" customHeight="1">
      <c r="A10" s="41"/>
      <c r="B10" s="175"/>
      <c r="C10" s="176"/>
      <c r="D10" s="187" t="str">
        <f>level3 &amp; ": Modelling is routinely used to support annual planning and is regularly updated during the year. Key outputs such as sustainable waiting list size and balance " &amp; " of demand and capacity are routinely monitored and compared againts actual activity, and the results are used for performance management of services."</f>
        <v>Good: Modelling is routinely used to support annual planning and is regularly updated during the year. Key outputs such as sustainable waiting list size and balance  of demand and capacity are routinely monitored and compared againts actual activity, and the results are used for performance management of services.</v>
      </c>
      <c r="E10" s="188"/>
      <c r="F10" s="188"/>
      <c r="G10" s="188"/>
      <c r="H10" s="188"/>
      <c r="I10" s="188"/>
      <c r="J10" s="189"/>
      <c r="K10" s="123"/>
      <c r="L10" s="120"/>
      <c r="M10" s="120"/>
      <c r="N10" s="121"/>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2"/>
      <c r="AV10" s="122"/>
      <c r="AW10" s="122"/>
      <c r="AX10" s="122"/>
    </row>
    <row r="11" spans="1:50" s="5" customFormat="1" ht="34.5" customHeight="1">
      <c r="A11" s="41"/>
      <c r="B11" s="177"/>
      <c r="C11" s="178"/>
      <c r="D11" s="190" t="str">
        <f>level4 &amp; ": Demand and capacity modelling is fully integrated into business as usual work, and is routinely used to plan for both the long and short term. These processes are built into standard operating procedures, " &amp; "and are included in inductions for relevant staff, with skills refreshed on a regular basis. There may be links with research organisations to keep thinking in line with best practice."</f>
        <v>Excellent: Demand and capacity modelling is fully integrated into business as usual work, and is routinely used to plan for both the long and short term. These processes are built into standard operating procedures, and are included in inductions for relevant staff, with skills refreshed on a regular basis. There may be links with research organisations to keep thinking in line with best practice.</v>
      </c>
      <c r="E11" s="191"/>
      <c r="F11" s="191"/>
      <c r="G11" s="191"/>
      <c r="H11" s="191"/>
      <c r="I11" s="191"/>
      <c r="J11" s="192"/>
      <c r="K11" s="123"/>
      <c r="L11" s="120"/>
      <c r="M11" s="120"/>
      <c r="N11" s="121"/>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0"/>
      <c r="AU11" s="122"/>
      <c r="AV11" s="122"/>
      <c r="AW11" s="122"/>
      <c r="AX11" s="122"/>
    </row>
    <row r="12" spans="1:50" s="5" customFormat="1" ht="31.5" customHeight="1">
      <c r="A12" s="41"/>
      <c r="B12" s="34">
        <v>1.2</v>
      </c>
      <c r="C12" s="172" t="str">
        <f>VLOOKUP(B12,Lookups!$E$8:$F$57,2,FALSE)</f>
        <v>Accountabilities for modelling activity and outputs are clear across all levels</v>
      </c>
      <c r="D12" s="172"/>
      <c r="E12" s="16" t="s">
        <v>28</v>
      </c>
      <c r="F12" s="79"/>
      <c r="G12" s="79" t="s">
        <v>131</v>
      </c>
      <c r="H12" s="16" t="s">
        <v>29</v>
      </c>
      <c r="I12" s="16" t="s">
        <v>28</v>
      </c>
      <c r="J12" s="16" t="s">
        <v>27</v>
      </c>
      <c r="K12" s="123"/>
      <c r="L12" s="120"/>
      <c r="M12" s="120"/>
      <c r="N12" s="121"/>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2"/>
      <c r="AV12" s="122"/>
      <c r="AW12" s="122"/>
      <c r="AX12" s="122"/>
    </row>
    <row r="13" spans="1:50" s="5" customFormat="1" ht="14.25" customHeight="1">
      <c r="A13" s="41"/>
      <c r="B13" s="173" t="str">
        <f>KLOES</f>
        <v>Scenarios</v>
      </c>
      <c r="C13" s="174"/>
      <c r="D13" s="179" t="str">
        <f>level1&amp;": Ownership of demand and capacity modelling is not clearly defined."</f>
        <v>Nothing: Ownership of demand and capacity modelling is not clearly defined.</v>
      </c>
      <c r="E13" s="180"/>
      <c r="F13" s="180"/>
      <c r="G13" s="180"/>
      <c r="H13" s="180"/>
      <c r="I13" s="180"/>
      <c r="J13" s="181"/>
      <c r="K13" s="123"/>
      <c r="L13" s="120"/>
      <c r="M13" s="120"/>
      <c r="N13" s="121"/>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0"/>
      <c r="AU13" s="122"/>
      <c r="AV13" s="122"/>
      <c r="AW13" s="122"/>
      <c r="AX13" s="122"/>
    </row>
    <row r="14" spans="1:50" s="5" customFormat="1" ht="30" customHeight="1">
      <c r="A14" s="41"/>
      <c r="B14" s="175"/>
      <c r="C14" s="176"/>
      <c r="D14" s="182" t="str">
        <f>level2 &amp; ": Ownership of demand and capacity modelling is not clearly defined and may rely on key individuals acting as repositories of institutional" &amp; " knowledge. Limited knowledge of key metrics such as the sustainable waiting list size, and balance of demand and capacity."</f>
        <v>Fair: Ownership of demand and capacity modelling is not clearly defined and may rely on key individuals acting as repositories of institutional knowledge. Limited knowledge of key metrics such as the sustainable waiting list size, and balance of demand and capacity.</v>
      </c>
      <c r="E14" s="183"/>
      <c r="F14" s="183"/>
      <c r="G14" s="183"/>
      <c r="H14" s="183"/>
      <c r="I14" s="183"/>
      <c r="J14" s="184"/>
      <c r="K14" s="123"/>
      <c r="L14" s="120"/>
      <c r="M14" s="120"/>
      <c r="N14" s="121"/>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2"/>
      <c r="AV14" s="122"/>
      <c r="AW14" s="122"/>
      <c r="AX14" s="122"/>
    </row>
    <row r="15" spans="1:50" s="5" customFormat="1" ht="15.95" customHeight="1">
      <c r="A15" s="41"/>
      <c r="B15" s="175"/>
      <c r="C15" s="176"/>
      <c r="D15" s="187" t="str">
        <f>level3 &amp; ": Key roles and responsibilities are defined as part of overall service planning, with agreed goals and timeframes supported by senior management."</f>
        <v>Good: Key roles and responsibilities are defined as part of overall service planning, with agreed goals and timeframes supported by senior management.</v>
      </c>
      <c r="E15" s="188"/>
      <c r="F15" s="188"/>
      <c r="G15" s="188"/>
      <c r="H15" s="188"/>
      <c r="I15" s="188"/>
      <c r="J15" s="189"/>
      <c r="K15" s="123"/>
      <c r="L15" s="120"/>
      <c r="M15" s="120"/>
      <c r="N15" s="121"/>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2"/>
      <c r="AV15" s="122"/>
      <c r="AW15" s="122"/>
      <c r="AX15" s="122"/>
    </row>
    <row r="16" spans="1:50" s="5" customFormat="1" ht="18.600000000000001" customHeight="1">
      <c r="A16" s="41"/>
      <c r="B16" s="177"/>
      <c r="C16" s="178"/>
      <c r="D16" s="190" t="str">
        <f>level4 &amp; ": Key roles and responsibilities are well defined for infomatics, operational, clinical and senior management roles. There are clear lines of accountability and timelines that are linked to planning and reporting schedules."</f>
        <v>Excellent: Key roles and responsibilities are well defined for infomatics, operational, clinical and senior management roles. There are clear lines of accountability and timelines that are linked to planning and reporting schedules.</v>
      </c>
      <c r="E16" s="191"/>
      <c r="F16" s="191"/>
      <c r="G16" s="191"/>
      <c r="H16" s="191"/>
      <c r="I16" s="191"/>
      <c r="J16" s="192"/>
      <c r="K16" s="123"/>
      <c r="L16" s="120"/>
      <c r="M16" s="120"/>
      <c r="N16" s="121"/>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0"/>
      <c r="AU16" s="122"/>
      <c r="AV16" s="122"/>
      <c r="AW16" s="122"/>
      <c r="AX16" s="122"/>
    </row>
    <row r="17" spans="1:50" s="5" customFormat="1" ht="44.25" customHeight="1">
      <c r="A17" s="41"/>
      <c r="B17" s="34">
        <v>1.3</v>
      </c>
      <c r="C17" s="172" t="str">
        <f>VLOOKUP(B17,Lookups!$E$8:$F$57,2,FALSE)</f>
        <v xml:space="preserve">Governance systems assure the delivery of a consistent and coherent use of modelling across the system. </v>
      </c>
      <c r="D17" s="172"/>
      <c r="E17" s="16" t="s">
        <v>29</v>
      </c>
      <c r="F17" s="79"/>
      <c r="G17" s="79"/>
      <c r="H17" s="16" t="s">
        <v>28</v>
      </c>
      <c r="I17" s="16" t="s">
        <v>26</v>
      </c>
      <c r="J17" s="16" t="s">
        <v>27</v>
      </c>
      <c r="K17" s="123"/>
      <c r="L17" s="120"/>
      <c r="M17" s="120"/>
      <c r="N17" s="121"/>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2"/>
      <c r="AV17" s="122"/>
      <c r="AW17" s="122"/>
      <c r="AX17" s="122"/>
    </row>
    <row r="18" spans="1:50" s="5" customFormat="1" ht="14.1" customHeight="1">
      <c r="A18" s="41"/>
      <c r="B18" s="173" t="str">
        <f>KLOES</f>
        <v>Scenarios</v>
      </c>
      <c r="C18" s="174"/>
      <c r="D18" s="179" t="str">
        <f>level1&amp;": At organisation level, there is limited knowledge of how to implement large scale demand and capacity modelling and embed it in local processes."</f>
        <v>Nothing: At organisation level, there is limited knowledge of how to implement large scale demand and capacity modelling and embed it in local processes.</v>
      </c>
      <c r="E18" s="180"/>
      <c r="F18" s="180"/>
      <c r="G18" s="180"/>
      <c r="H18" s="180"/>
      <c r="I18" s="180"/>
      <c r="J18" s="181"/>
      <c r="K18" s="123"/>
      <c r="L18" s="120"/>
      <c r="M18" s="120"/>
      <c r="N18" s="121"/>
      <c r="O18" s="120"/>
      <c r="P18" s="120"/>
      <c r="Q18" s="120"/>
      <c r="R18" s="120"/>
      <c r="S18" s="120"/>
      <c r="T18" s="120"/>
      <c r="U18" s="120"/>
      <c r="V18" s="120"/>
      <c r="W18" s="120"/>
      <c r="X18" s="120"/>
      <c r="Y18" s="120"/>
      <c r="Z18" s="120"/>
      <c r="AA18" s="120"/>
      <c r="AB18" s="120"/>
      <c r="AC18" s="120"/>
      <c r="AD18" s="120"/>
      <c r="AE18" s="120"/>
      <c r="AF18" s="120"/>
      <c r="AG18" s="120"/>
      <c r="AH18" s="120"/>
      <c r="AI18" s="120"/>
      <c r="AJ18" s="120"/>
      <c r="AK18" s="120"/>
      <c r="AL18" s="120"/>
      <c r="AM18" s="120"/>
      <c r="AN18" s="120"/>
      <c r="AO18" s="120"/>
      <c r="AP18" s="120"/>
      <c r="AQ18" s="120"/>
      <c r="AR18" s="120"/>
      <c r="AS18" s="120"/>
      <c r="AT18" s="120"/>
      <c r="AU18" s="122"/>
      <c r="AV18" s="122"/>
      <c r="AW18" s="122"/>
      <c r="AX18" s="122"/>
    </row>
    <row r="19" spans="1:50" s="5" customFormat="1">
      <c r="A19" s="41"/>
      <c r="B19" s="175"/>
      <c r="C19" s="176"/>
      <c r="D19" s="182" t="str">
        <f>level2 &amp; ": There is local awareness (i.e. at operational level) of demand and capacity modelling techniques, but this is not widely adopted through the organisation or reflected in senior management."</f>
        <v>Fair: There is local awareness (i.e. at operational level) of demand and capacity modelling techniques, but this is not widely adopted through the organisation or reflected in senior management.</v>
      </c>
      <c r="E19" s="183"/>
      <c r="F19" s="183"/>
      <c r="G19" s="183"/>
      <c r="H19" s="183"/>
      <c r="I19" s="183"/>
      <c r="J19" s="184"/>
      <c r="K19" s="123"/>
      <c r="L19" s="120"/>
      <c r="M19" s="120"/>
      <c r="N19" s="121"/>
      <c r="O19" s="120"/>
      <c r="P19" s="120"/>
      <c r="Q19" s="120"/>
      <c r="R19" s="120"/>
      <c r="S19" s="120"/>
      <c r="T19" s="120"/>
      <c r="U19" s="120"/>
      <c r="V19" s="120"/>
      <c r="W19" s="120"/>
      <c r="X19" s="120"/>
      <c r="Y19" s="120"/>
      <c r="Z19" s="120"/>
      <c r="AA19" s="120"/>
      <c r="AB19" s="120"/>
      <c r="AC19" s="120"/>
      <c r="AD19" s="120"/>
      <c r="AE19" s="120"/>
      <c r="AF19" s="120"/>
      <c r="AG19" s="120"/>
      <c r="AH19" s="120"/>
      <c r="AI19" s="120"/>
      <c r="AJ19" s="120"/>
      <c r="AK19" s="120"/>
      <c r="AL19" s="120"/>
      <c r="AM19" s="120"/>
      <c r="AN19" s="120"/>
      <c r="AO19" s="120"/>
      <c r="AP19" s="120"/>
      <c r="AQ19" s="120"/>
      <c r="AR19" s="120"/>
      <c r="AS19" s="120"/>
      <c r="AT19" s="120"/>
      <c r="AU19" s="122"/>
      <c r="AV19" s="122"/>
      <c r="AW19" s="122"/>
      <c r="AX19" s="122"/>
    </row>
    <row r="20" spans="1:50" s="5" customFormat="1" ht="29.45" customHeight="1">
      <c r="A20" s="41"/>
      <c r="B20" s="175"/>
      <c r="C20" s="176"/>
      <c r="D20" s="187" t="str">
        <f>level3 &amp; ": A formal governance framework is in place to support demand and capacity as a routine aspect of business planning. These functions are included as part of routine" &amp; " responsibiltities for operational management roles, and key positions in senior leadership have been identified to lead this line of work."</f>
        <v>Good: A formal governance framework is in place to support demand and capacity as a routine aspect of business planning. These functions are included as part of routine responsibiltities for operational management roles, and key positions in senior leadership have been identified to lead this line of work.</v>
      </c>
      <c r="E20" s="188"/>
      <c r="F20" s="188"/>
      <c r="G20" s="188"/>
      <c r="H20" s="188"/>
      <c r="I20" s="188"/>
      <c r="J20" s="189"/>
      <c r="K20" s="123"/>
      <c r="L20" s="120"/>
      <c r="M20" s="120"/>
      <c r="N20" s="121"/>
      <c r="O20" s="120"/>
      <c r="P20" s="120"/>
      <c r="Q20" s="120"/>
      <c r="R20" s="120"/>
      <c r="S20" s="120"/>
      <c r="T20" s="120"/>
      <c r="U20" s="120"/>
      <c r="V20" s="120"/>
      <c r="W20" s="120"/>
      <c r="X20" s="120"/>
      <c r="Y20" s="120"/>
      <c r="Z20" s="120"/>
      <c r="AA20" s="120"/>
      <c r="AB20" s="120"/>
      <c r="AC20" s="120"/>
      <c r="AD20" s="120"/>
      <c r="AE20" s="120"/>
      <c r="AF20" s="120"/>
      <c r="AG20" s="120"/>
      <c r="AH20" s="120"/>
      <c r="AI20" s="120"/>
      <c r="AJ20" s="120"/>
      <c r="AK20" s="120"/>
      <c r="AL20" s="120"/>
      <c r="AM20" s="120"/>
      <c r="AN20" s="120"/>
      <c r="AO20" s="120"/>
      <c r="AP20" s="120"/>
      <c r="AQ20" s="120"/>
      <c r="AR20" s="120"/>
      <c r="AS20" s="120"/>
      <c r="AT20" s="120"/>
      <c r="AU20" s="122"/>
      <c r="AV20" s="122"/>
      <c r="AW20" s="122"/>
      <c r="AX20" s="122"/>
    </row>
    <row r="21" spans="1:50" s="5" customFormat="1" ht="32.1" customHeight="1">
      <c r="A21" s="41"/>
      <c r="B21" s="177"/>
      <c r="C21" s="178"/>
      <c r="D21" s="190" t="str">
        <f>level4 &amp; ": A formal governance framework is in place, and is regularly reviewed and evaulate to ensure it is fit for purpose. Modelling at local and strategic levels are aligned,"&amp;" and demand and capacity metrics and methods are clearly understood and widely used within the organisation. Continuity plans are also in place to ensure knowledge is retained and developed within the organisation."</f>
        <v>Excellent: A formal governance framework is in place, and is regularly reviewed and evaulate to ensure it is fit for purpose. Modelling at local and strategic levels are aligned, and demand and capacity metrics and methods are clearly understood and widely used within the organisation. Continuity plans are also in place to ensure knowledge is retained and developed within the organisation.</v>
      </c>
      <c r="E21" s="191"/>
      <c r="F21" s="191"/>
      <c r="G21" s="191"/>
      <c r="H21" s="191"/>
      <c r="I21" s="191"/>
      <c r="J21" s="192"/>
      <c r="K21" s="123"/>
      <c r="L21" s="120"/>
      <c r="M21" s="120"/>
      <c r="N21" s="121"/>
      <c r="O21" s="120"/>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2"/>
      <c r="AV21" s="122"/>
      <c r="AW21" s="122"/>
      <c r="AX21" s="122"/>
    </row>
    <row r="22" spans="1:50" s="5" customFormat="1" ht="43.5" customHeight="1">
      <c r="A22" s="41"/>
      <c r="B22" s="34">
        <v>1.4</v>
      </c>
      <c r="C22" s="172" t="str">
        <f>VLOOKUP(B22,Lookups!$E$8:$F$57,2,FALSE)</f>
        <v>Modelling is deployed at scale across the system</v>
      </c>
      <c r="D22" s="172"/>
      <c r="E22" s="16" t="s">
        <v>29</v>
      </c>
      <c r="F22" s="79"/>
      <c r="G22" s="79"/>
      <c r="H22" s="16" t="s">
        <v>26</v>
      </c>
      <c r="I22" s="16" t="s">
        <v>26</v>
      </c>
      <c r="J22" s="16" t="s">
        <v>26</v>
      </c>
      <c r="K22" s="123"/>
      <c r="L22" s="120"/>
      <c r="M22" s="120"/>
      <c r="N22" s="121"/>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2"/>
      <c r="AV22" s="122"/>
      <c r="AW22" s="122"/>
      <c r="AX22" s="122"/>
    </row>
    <row r="23" spans="1:50" s="5" customFormat="1" ht="20.100000000000001" customHeight="1">
      <c r="A23" s="41"/>
      <c r="B23" s="173" t="str">
        <f>KLOES</f>
        <v>Scenarios</v>
      </c>
      <c r="C23" s="174"/>
      <c r="D23" s="179" t="str">
        <f>level1&amp;": Modelling has not taken place, or has occurred as a one-off exercise in response to specific situations or queries."</f>
        <v>Nothing: Modelling has not taken place, or has occurred as a one-off exercise in response to specific situations or queries.</v>
      </c>
      <c r="E23" s="180"/>
      <c r="F23" s="180"/>
      <c r="G23" s="180"/>
      <c r="H23" s="180"/>
      <c r="I23" s="180"/>
      <c r="J23" s="181"/>
      <c r="K23" s="123"/>
      <c r="L23" s="120"/>
      <c r="M23" s="120"/>
      <c r="N23" s="121"/>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2"/>
      <c r="AV23" s="122"/>
      <c r="AW23" s="122"/>
      <c r="AX23" s="122"/>
    </row>
    <row r="24" spans="1:50" s="5" customFormat="1" ht="30.95" customHeight="1">
      <c r="A24" s="41"/>
      <c r="B24" s="175"/>
      <c r="C24" s="176"/>
      <c r="D24" s="182" t="str">
        <f>level2 &amp; ": The service manager takes overall ownership of the model, and is supported by a designated lead from informatics. There may also be involvement from an improvement or transformation lead, in a 'critical friend' role. "&amp;"The strengths and weaknesses of the model can be clearly articulated, and the results used to actively plan for times of the year where patients are at risk of longer waits (e.g. winter)."</f>
        <v>Fair: The service manager takes overall ownership of the model, and is supported by a designated lead from informatics. There may also be involvement from an improvement or transformation lead, in a 'critical friend' role. The strengths and weaknesses of the model can be clearly articulated, and the results used to actively plan for times of the year where patients are at risk of longer waits (e.g. winter).</v>
      </c>
      <c r="E24" s="183"/>
      <c r="F24" s="183"/>
      <c r="G24" s="183"/>
      <c r="H24" s="183"/>
      <c r="I24" s="183"/>
      <c r="J24" s="184"/>
      <c r="K24" s="123"/>
      <c r="L24" s="120"/>
      <c r="M24" s="120"/>
      <c r="N24" s="121"/>
      <c r="O24" s="120"/>
      <c r="P24" s="120"/>
      <c r="Q24" s="120"/>
      <c r="R24" s="120"/>
      <c r="S24" s="120"/>
      <c r="T24" s="120"/>
      <c r="U24" s="120"/>
      <c r="V24" s="120"/>
      <c r="W24" s="120"/>
      <c r="X24" s="120"/>
      <c r="Y24" s="120"/>
      <c r="Z24" s="120"/>
      <c r="AA24" s="120"/>
      <c r="AB24" s="120"/>
      <c r="AC24" s="120"/>
      <c r="AD24" s="120"/>
      <c r="AE24" s="120"/>
      <c r="AF24" s="120"/>
      <c r="AG24" s="120"/>
      <c r="AH24" s="120"/>
      <c r="AI24" s="120"/>
      <c r="AJ24" s="120"/>
      <c r="AK24" s="120"/>
      <c r="AL24" s="120"/>
      <c r="AM24" s="120"/>
      <c r="AN24" s="120"/>
      <c r="AO24" s="120"/>
      <c r="AP24" s="120"/>
      <c r="AQ24" s="120"/>
      <c r="AR24" s="120"/>
      <c r="AS24" s="120"/>
      <c r="AT24" s="120"/>
      <c r="AU24" s="122"/>
      <c r="AV24" s="122"/>
      <c r="AW24" s="122"/>
      <c r="AX24" s="122"/>
    </row>
    <row r="25" spans="1:50" s="5" customFormat="1" ht="32.450000000000003" customHeight="1">
      <c r="A25" s="41"/>
      <c r="B25" s="175"/>
      <c r="C25" s="176"/>
      <c r="D25" s="187" t="str">
        <f>level3 &amp; ": In addition to supporting normal business planning, the model may be supplemented with annotations to explain anomalies or highlight events of "&amp;"note which may have affected the service, along with recommended actions for service improvements and an evaluation of the efficacy of the modelling."</f>
        <v>Good: In addition to supporting normal business planning, the model may be supplemented with annotations to explain anomalies or highlight events of note which may have affected the service, along with recommended actions for service improvements and an evaluation of the efficacy of the modelling.</v>
      </c>
      <c r="E25" s="188"/>
      <c r="F25" s="188"/>
      <c r="G25" s="188"/>
      <c r="H25" s="188"/>
      <c r="I25" s="188"/>
      <c r="J25" s="189"/>
      <c r="K25" s="123"/>
      <c r="L25" s="120"/>
      <c r="M25" s="120"/>
      <c r="N25" s="121"/>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2"/>
      <c r="AV25" s="122"/>
      <c r="AW25" s="122"/>
      <c r="AX25" s="122"/>
    </row>
    <row r="26" spans="1:50" s="5" customFormat="1" ht="30.75" customHeight="1">
      <c r="A26" s="41"/>
      <c r="B26" s="177"/>
      <c r="C26" s="178"/>
      <c r="D26" s="190" t="str">
        <f>level4 &amp; ": The model is supplemented with annotations from the service manager to explain anomalies or highlight events of note which may affect the service, with recommended actions. These are used to support operational and strategic decision making."</f>
        <v>Excellent: The model is supplemented with annotations from the service manager to explain anomalies or highlight events of note which may affect the service, with recommended actions. These are used to support operational and strategic decision making.</v>
      </c>
      <c r="E26" s="191"/>
      <c r="F26" s="191"/>
      <c r="G26" s="191"/>
      <c r="H26" s="191"/>
      <c r="I26" s="191"/>
      <c r="J26" s="192"/>
      <c r="K26" s="123"/>
      <c r="L26" s="120"/>
      <c r="M26" s="120"/>
      <c r="N26" s="121"/>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0"/>
      <c r="AP26" s="120"/>
      <c r="AQ26" s="120"/>
      <c r="AR26" s="120"/>
      <c r="AS26" s="120"/>
      <c r="AT26" s="120"/>
      <c r="AU26" s="122"/>
      <c r="AV26" s="122"/>
      <c r="AW26" s="122"/>
      <c r="AX26" s="122"/>
    </row>
    <row r="27" spans="1:50" s="5" customFormat="1" ht="45" customHeight="1">
      <c r="A27" s="41"/>
      <c r="B27" s="34">
        <v>1.5</v>
      </c>
      <c r="C27" s="172" t="str">
        <f>VLOOKUP(B27,Lookups!$E$8:$F$57,2,FALSE)</f>
        <v xml:space="preserve">Modelling outputs are subject to robust operation oversight, analysis and validation.  </v>
      </c>
      <c r="D27" s="172"/>
      <c r="E27" s="16" t="s">
        <v>28</v>
      </c>
      <c r="F27" s="79"/>
      <c r="G27" s="79"/>
      <c r="H27" s="16" t="s">
        <v>29</v>
      </c>
      <c r="I27" s="16" t="s">
        <v>27</v>
      </c>
      <c r="J27" s="16" t="s">
        <v>29</v>
      </c>
      <c r="K27" s="123"/>
      <c r="L27" s="120"/>
      <c r="M27" s="120"/>
      <c r="N27" s="121"/>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0"/>
      <c r="AP27" s="120"/>
      <c r="AQ27" s="120"/>
      <c r="AR27" s="120"/>
      <c r="AS27" s="120"/>
      <c r="AT27" s="120"/>
      <c r="AU27" s="122"/>
      <c r="AV27" s="122"/>
      <c r="AW27" s="122"/>
      <c r="AX27" s="122"/>
    </row>
    <row r="28" spans="1:50" s="5" customFormat="1" ht="14.1" customHeight="1">
      <c r="A28" s="41"/>
      <c r="B28" s="173" t="str">
        <f>KLOES</f>
        <v>Scenarios</v>
      </c>
      <c r="C28" s="174"/>
      <c r="D28" s="179" t="str">
        <f>level1&amp;": The model is signed off by the service manager, who can articulate the strengths and weaknesses of the modelling, and what further work is needed to improve its robustness."</f>
        <v>Nothing: The model is signed off by the service manager, who can articulate the strengths and weaknesses of the modelling, and what further work is needed to improve its robustness.</v>
      </c>
      <c r="E28" s="180"/>
      <c r="F28" s="180"/>
      <c r="G28" s="180"/>
      <c r="H28" s="180"/>
      <c r="I28" s="180"/>
      <c r="J28" s="181"/>
      <c r="K28" s="123"/>
      <c r="L28" s="120"/>
      <c r="M28" s="120"/>
      <c r="N28" s="121"/>
      <c r="O28" s="120"/>
      <c r="P28" s="120"/>
      <c r="Q28" s="120"/>
      <c r="R28" s="120"/>
      <c r="S28" s="120"/>
      <c r="T28" s="120"/>
      <c r="U28" s="120"/>
      <c r="V28" s="120"/>
      <c r="W28" s="120"/>
      <c r="X28" s="120"/>
      <c r="Y28" s="120"/>
      <c r="Z28" s="120"/>
      <c r="AA28" s="120"/>
      <c r="AB28" s="120"/>
      <c r="AC28" s="120"/>
      <c r="AD28" s="120"/>
      <c r="AE28" s="120"/>
      <c r="AF28" s="120"/>
      <c r="AG28" s="120"/>
      <c r="AH28" s="120"/>
      <c r="AI28" s="120"/>
      <c r="AJ28" s="120"/>
      <c r="AK28" s="120"/>
      <c r="AL28" s="120"/>
      <c r="AM28" s="120"/>
      <c r="AN28" s="120"/>
      <c r="AO28" s="120"/>
      <c r="AP28" s="120"/>
      <c r="AQ28" s="120"/>
      <c r="AR28" s="120"/>
      <c r="AS28" s="120"/>
      <c r="AT28" s="120"/>
      <c r="AU28" s="122"/>
      <c r="AV28" s="122"/>
      <c r="AW28" s="122"/>
      <c r="AX28" s="122"/>
    </row>
    <row r="29" spans="1:50" s="5" customFormat="1" ht="30.75" customHeight="1">
      <c r="A29" s="41"/>
      <c r="B29" s="175"/>
      <c r="C29" s="176"/>
      <c r="D29" s="182" t="str">
        <f>level2 &amp; ": Modelling outputs are used to support business planning across service pathways, and lessons learnt are used to improve further iterations, or expand the method into other services that have not yet begun modelling."</f>
        <v>Fair: Modelling outputs are used to support business planning across service pathways, and lessons learnt are used to improve further iterations, or expand the method into other services that have not yet begun modelling.</v>
      </c>
      <c r="E29" s="183"/>
      <c r="F29" s="183"/>
      <c r="G29" s="183"/>
      <c r="H29" s="183"/>
      <c r="I29" s="183"/>
      <c r="J29" s="184"/>
      <c r="K29" s="123"/>
      <c r="L29" s="120"/>
      <c r="M29" s="120"/>
      <c r="N29" s="121"/>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2"/>
      <c r="AV29" s="122"/>
      <c r="AW29" s="122"/>
      <c r="AX29" s="122"/>
    </row>
    <row r="30" spans="1:50" s="5" customFormat="1" ht="17.100000000000001" customHeight="1">
      <c r="A30" s="41"/>
      <c r="B30" s="175"/>
      <c r="C30" s="176"/>
      <c r="D30" s="187" t="str">
        <f>level3 &amp; ": Modelling is seen as routine for most services, and includes pathway modelling to anticipate effects of changes to parts of a service."</f>
        <v>Good: Modelling is seen as routine for most services, and includes pathway modelling to anticipate effects of changes to parts of a service.</v>
      </c>
      <c r="E30" s="188"/>
      <c r="F30" s="188"/>
      <c r="G30" s="188"/>
      <c r="H30" s="188"/>
      <c r="I30" s="188"/>
      <c r="J30" s="189"/>
      <c r="K30" s="123"/>
      <c r="L30" s="120"/>
      <c r="M30" s="120"/>
      <c r="N30" s="121"/>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2"/>
      <c r="AV30" s="122"/>
      <c r="AW30" s="122"/>
      <c r="AX30" s="122"/>
    </row>
    <row r="31" spans="1:50" s="5" customFormat="1">
      <c r="A31" s="41"/>
      <c r="B31" s="177"/>
      <c r="C31" s="178"/>
      <c r="D31" s="190" t="str">
        <f>level4 &amp; ": Modelling is fully embedded across all services, with clear lines of communication to relevant external partners (e.g. peer providers, commissioners, regional bodies)."</f>
        <v>Excellent: Modelling is fully embedded across all services, with clear lines of communication to relevant external partners (e.g. peer providers, commissioners, regional bodies).</v>
      </c>
      <c r="E31" s="191"/>
      <c r="F31" s="191"/>
      <c r="G31" s="191"/>
      <c r="H31" s="191"/>
      <c r="I31" s="191"/>
      <c r="J31" s="192"/>
      <c r="K31" s="123"/>
      <c r="L31" s="120"/>
      <c r="M31" s="120"/>
      <c r="N31" s="121"/>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2"/>
      <c r="AV31" s="122"/>
      <c r="AW31" s="122"/>
      <c r="AX31" s="122"/>
    </row>
    <row r="32" spans="1:50" s="5" customFormat="1" ht="45.75" customHeight="1">
      <c r="A32" s="41"/>
      <c r="B32" s="34">
        <v>1.6</v>
      </c>
      <c r="C32" s="172" t="str">
        <f>VLOOKUP(B32,Lookups!$E$8:$F$57,2,FALSE)</f>
        <v>Modelling is used to drive business planning at scale across the system</v>
      </c>
      <c r="D32" s="172"/>
      <c r="E32" s="16" t="s">
        <v>29</v>
      </c>
      <c r="F32" s="79"/>
      <c r="G32" s="79"/>
      <c r="H32" s="16" t="s">
        <v>28</v>
      </c>
      <c r="I32" s="16" t="s">
        <v>26</v>
      </c>
      <c r="J32" s="16" t="s">
        <v>26</v>
      </c>
      <c r="K32" s="123"/>
      <c r="L32" s="120"/>
      <c r="M32" s="120"/>
      <c r="N32" s="121"/>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2"/>
      <c r="AV32" s="122"/>
      <c r="AW32" s="122"/>
      <c r="AX32" s="122"/>
    </row>
    <row r="33" spans="1:50" s="5" customFormat="1" ht="29.1" customHeight="1">
      <c r="A33" s="41"/>
      <c r="B33" s="173" t="str">
        <f>KLOES</f>
        <v>Scenarios</v>
      </c>
      <c r="C33" s="174"/>
      <c r="D33" s="179" t="str">
        <f>level1&amp;": A single 'pathfinder' service or process may be picked to test methodology, and develop best practice guidelines. Alternatively, a broader approach could be applied to generate a 'first attempt' model for multiple services."</f>
        <v>Nothing: A single 'pathfinder' service or process may be picked to test methodology, and develop best practice guidelines. Alternatively, a broader approach could be applied to generate a 'first attempt' model for multiple services.</v>
      </c>
      <c r="E33" s="180"/>
      <c r="F33" s="180"/>
      <c r="G33" s="180"/>
      <c r="H33" s="180"/>
      <c r="I33" s="180"/>
      <c r="J33" s="181"/>
      <c r="K33" s="123"/>
      <c r="L33" s="120"/>
      <c r="M33" s="120"/>
      <c r="N33" s="121"/>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2"/>
      <c r="AV33" s="122"/>
      <c r="AW33" s="122"/>
      <c r="AX33" s="122"/>
    </row>
    <row r="34" spans="1:50" s="5" customFormat="1" ht="18.95" customHeight="1">
      <c r="A34" s="41"/>
      <c r="B34" s="175"/>
      <c r="C34" s="176"/>
      <c r="D34" s="182" t="str">
        <f>level2 &amp; ": Some processes have undergone modelling, as local pilots or exemplars of good practice."</f>
        <v>Fair: Some processes have undergone modelling, as local pilots or exemplars of good practice.</v>
      </c>
      <c r="E34" s="183"/>
      <c r="F34" s="183"/>
      <c r="G34" s="183"/>
      <c r="H34" s="183"/>
      <c r="I34" s="183"/>
      <c r="J34" s="184"/>
      <c r="K34" s="123"/>
      <c r="L34" s="120"/>
      <c r="M34" s="120"/>
      <c r="N34" s="121"/>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2"/>
      <c r="AV34" s="122"/>
      <c r="AW34" s="122"/>
      <c r="AX34" s="122"/>
    </row>
    <row r="35" spans="1:50" s="5" customFormat="1" ht="17.45" customHeight="1">
      <c r="A35" s="41"/>
      <c r="B35" s="175"/>
      <c r="C35" s="176"/>
      <c r="D35" s="187" t="str">
        <f>level3 &amp; ": The majority of services carried out some degree of modelling, and there may be interaction with partner organisations (e.g. peer providers, commissioners and regional colleagues)."</f>
        <v>Good: The majority of services carried out some degree of modelling, and there may be interaction with partner organisations (e.g. peer providers, commissioners and regional colleagues).</v>
      </c>
      <c r="E35" s="188"/>
      <c r="F35" s="188"/>
      <c r="G35" s="188"/>
      <c r="H35" s="188"/>
      <c r="I35" s="188"/>
      <c r="J35" s="189"/>
      <c r="K35" s="123"/>
      <c r="L35" s="120"/>
      <c r="M35" s="120"/>
      <c r="N35" s="121"/>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2"/>
      <c r="AV35" s="122"/>
      <c r="AW35" s="122"/>
      <c r="AX35" s="122"/>
    </row>
    <row r="36" spans="1:50" s="5" customFormat="1" ht="30.75" customHeight="1" thickBot="1">
      <c r="A36" s="41"/>
      <c r="B36" s="185"/>
      <c r="C36" s="186"/>
      <c r="D36" s="190" t="str">
        <f>level4 &amp; ": All services are carrying out some degree of modelling, which may be integrated into a business intelligence solution. The outputs from the modelling are used to drive business planning as well as job planning throughout the year."</f>
        <v>Excellent: All services are carrying out some degree of modelling, which may be integrated into a business intelligence solution. The outputs from the modelling are used to drive business planning as well as job planning throughout the year.</v>
      </c>
      <c r="E36" s="191"/>
      <c r="F36" s="191"/>
      <c r="G36" s="191"/>
      <c r="H36" s="191"/>
      <c r="I36" s="191"/>
      <c r="J36" s="192"/>
      <c r="K36" s="123"/>
      <c r="L36" s="120"/>
      <c r="M36" s="120"/>
      <c r="N36" s="121"/>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2"/>
      <c r="AV36" s="122"/>
      <c r="AW36" s="122"/>
      <c r="AX36" s="122"/>
    </row>
    <row r="37" spans="1:50" s="120" customFormat="1" collapsed="1">
      <c r="A37" s="44"/>
      <c r="B37" s="124"/>
      <c r="C37" s="124"/>
      <c r="D37" s="45"/>
      <c r="E37" s="45"/>
      <c r="F37" s="125"/>
      <c r="G37" s="125"/>
      <c r="H37" s="45"/>
      <c r="I37" s="45"/>
      <c r="J37" s="126"/>
      <c r="K37" s="127"/>
      <c r="N37" s="121"/>
      <c r="AU37" s="5"/>
      <c r="AV37" s="5"/>
      <c r="AW37" s="5"/>
      <c r="AX37" s="5"/>
    </row>
  </sheetData>
  <sheetProtection algorithmName="SHA-512" hashValue="Dq/eXZ+IK/rcrkG/GJBDqNm3a4uOZwPZIJIudIH2M20lcmUnZn2qTKQkJhcJD6xiJNbyyU5olKABL05CoA36uQ==" saltValue="yl7agkRbwiMxvEPXttD/Sg==" spinCount="100000" sheet="1" formatColumns="0" formatRows="0"/>
  <mergeCells count="44">
    <mergeCell ref="D15:J15"/>
    <mergeCell ref="D16:J16"/>
    <mergeCell ref="A2:K2"/>
    <mergeCell ref="A3:K3"/>
    <mergeCell ref="B5:B6"/>
    <mergeCell ref="C5:D6"/>
    <mergeCell ref="E5:E6"/>
    <mergeCell ref="F5:F6"/>
    <mergeCell ref="G5:G6"/>
    <mergeCell ref="H5:J5"/>
    <mergeCell ref="C7:D7"/>
    <mergeCell ref="D8:J8"/>
    <mergeCell ref="D9:J9"/>
    <mergeCell ref="D11:J11"/>
    <mergeCell ref="D10:J10"/>
    <mergeCell ref="B8:C11"/>
    <mergeCell ref="C17:D17"/>
    <mergeCell ref="D18:J18"/>
    <mergeCell ref="D20:J20"/>
    <mergeCell ref="D21:J21"/>
    <mergeCell ref="D19:J19"/>
    <mergeCell ref="B18:C21"/>
    <mergeCell ref="C22:D22"/>
    <mergeCell ref="D23:J23"/>
    <mergeCell ref="D24:J24"/>
    <mergeCell ref="D25:J25"/>
    <mergeCell ref="D26:J26"/>
    <mergeCell ref="B23:C26"/>
    <mergeCell ref="C12:D12"/>
    <mergeCell ref="B13:C16"/>
    <mergeCell ref="D13:J13"/>
    <mergeCell ref="D14:J14"/>
    <mergeCell ref="B33:C36"/>
    <mergeCell ref="C32:D32"/>
    <mergeCell ref="D33:J33"/>
    <mergeCell ref="D35:J35"/>
    <mergeCell ref="D36:J36"/>
    <mergeCell ref="D34:J34"/>
    <mergeCell ref="C27:D27"/>
    <mergeCell ref="D28:J28"/>
    <mergeCell ref="D30:J30"/>
    <mergeCell ref="D31:J31"/>
    <mergeCell ref="D29:J29"/>
    <mergeCell ref="B28:C31"/>
  </mergeCells>
  <dataValidations count="1">
    <dataValidation type="list" allowBlank="1" showInputMessage="1" showErrorMessage="1" sqref="E7 E12 E17 H32:J32 E22 E27 H7:J7 H12:J12 H17:J17 H22:J22 H27:J27 E32" xr:uid="{17BAF0F3-03FE-4845-8C84-F10CE60B9E6A}">
      <formula1>scores</formula1>
    </dataValidation>
  </dataValidations>
  <pageMargins left="0.7" right="0.7" top="0.75" bottom="0.75" header="0.3" footer="0.3"/>
  <pageSetup scale="82"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EA4F-FEF7-406E-8E06-F261AFBC29D2}">
  <sheetPr>
    <outlinePr summaryBelow="0" summaryRight="0"/>
    <pageSetUpPr fitToPage="1"/>
  </sheetPr>
  <dimension ref="A1:AX23"/>
  <sheetViews>
    <sheetView showGridLines="0" showRowColHeaders="0" zoomScale="70" zoomScaleNormal="70" workbookViewId="0">
      <selection activeCell="L22" sqref="L22"/>
    </sheetView>
  </sheetViews>
  <sheetFormatPr defaultColWidth="9" defaultRowHeight="14.25"/>
  <cols>
    <col min="1" max="1" width="1.625" style="1" customWidth="1"/>
    <col min="2" max="3" width="4.125" style="4" customWidth="1"/>
    <col min="4" max="4" width="44.375" style="1" customWidth="1"/>
    <col min="5" max="5" width="9.125" style="1" customWidth="1"/>
    <col min="6" max="7" width="48.625" customWidth="1"/>
    <col min="8" max="8" width="9.5" style="1" customWidth="1"/>
    <col min="9" max="9" width="9.625" style="1" customWidth="1"/>
    <col min="10" max="10" width="9.25" style="2" customWidth="1"/>
    <col min="11" max="11" width="1.375" style="2" customWidth="1"/>
    <col min="12" max="13" width="9" style="2"/>
    <col min="14" max="14" width="9" style="7"/>
    <col min="15" max="46" width="9" style="2"/>
    <col min="47" max="16384" width="9" style="1"/>
  </cols>
  <sheetData>
    <row r="1" spans="1:50">
      <c r="AU1" s="3"/>
      <c r="AV1" s="3"/>
      <c r="AW1" s="3"/>
      <c r="AX1" s="3"/>
    </row>
    <row r="2" spans="1:50" ht="54" customHeight="1">
      <c r="A2" s="193" t="str">
        <f>Domain02 &amp; " - " &amp; ToolName</f>
        <v>Operational Processes - NHSE England Demand and Capacity Planning Roadmap and Maturity Tool</v>
      </c>
      <c r="B2" s="194"/>
      <c r="C2" s="194"/>
      <c r="D2" s="194"/>
      <c r="E2" s="194"/>
      <c r="F2" s="194"/>
      <c r="G2" s="194"/>
      <c r="H2" s="194"/>
      <c r="I2" s="194"/>
      <c r="J2" s="194"/>
      <c r="K2" s="195"/>
      <c r="AU2" s="3"/>
      <c r="AV2" s="3"/>
      <c r="AW2" s="3"/>
      <c r="AX2" s="3"/>
    </row>
    <row r="3" spans="1:50" ht="23.25" customHeight="1">
      <c r="A3" s="142" t="str">
        <f>"Domain 2 - " &amp; Domain02</f>
        <v>Domain 2 - Operational Processes</v>
      </c>
      <c r="B3" s="143"/>
      <c r="C3" s="143"/>
      <c r="D3" s="143"/>
      <c r="E3" s="143"/>
      <c r="F3" s="143"/>
      <c r="G3" s="143"/>
      <c r="H3" s="143"/>
      <c r="I3" s="143"/>
      <c r="J3" s="143"/>
      <c r="K3" s="144"/>
      <c r="AU3" s="3"/>
      <c r="AV3" s="3"/>
      <c r="AW3" s="3"/>
      <c r="AX3" s="3"/>
    </row>
    <row r="4" spans="1:50" ht="12.75" customHeight="1" thickBot="1">
      <c r="A4" s="18"/>
      <c r="D4" s="9"/>
      <c r="E4" s="9"/>
      <c r="F4" s="80"/>
      <c r="G4" s="80"/>
      <c r="H4" s="4"/>
      <c r="I4" s="4"/>
      <c r="J4" s="4"/>
      <c r="K4" s="19"/>
      <c r="AU4" s="3"/>
      <c r="AV4" s="3"/>
      <c r="AW4" s="3"/>
      <c r="AX4" s="3"/>
    </row>
    <row r="5" spans="1:50" ht="12.75" customHeight="1">
      <c r="A5" s="18"/>
      <c r="B5" s="196"/>
      <c r="C5" s="198" t="s">
        <v>20</v>
      </c>
      <c r="D5" s="198"/>
      <c r="E5" s="200" t="s">
        <v>21</v>
      </c>
      <c r="F5" s="202" t="s">
        <v>22</v>
      </c>
      <c r="G5" s="204" t="s">
        <v>23</v>
      </c>
      <c r="H5" s="206" t="s">
        <v>24</v>
      </c>
      <c r="I5" s="206"/>
      <c r="J5" s="207"/>
      <c r="K5" s="19"/>
      <c r="AU5" s="3"/>
      <c r="AV5" s="3"/>
      <c r="AW5" s="3"/>
      <c r="AX5" s="3"/>
    </row>
    <row r="6" spans="1:50" ht="12.75" customHeight="1" thickBot="1">
      <c r="A6" s="18"/>
      <c r="B6" s="197"/>
      <c r="C6" s="199"/>
      <c r="D6" s="199"/>
      <c r="E6" s="201" t="s">
        <v>25</v>
      </c>
      <c r="F6" s="203"/>
      <c r="G6" s="205"/>
      <c r="H6" s="11">
        <f>IF(ReviewDate1="","",ReviewDate1)</f>
        <v>44927</v>
      </c>
      <c r="I6" s="11">
        <f>IF(ReviewDate2="","",ReviewDate2)</f>
        <v>45114</v>
      </c>
      <c r="J6" s="12">
        <f>IF(ReviewDate3="","",ReviewDate3)</f>
        <v>45272</v>
      </c>
      <c r="K6" s="19"/>
      <c r="AU6" s="3"/>
      <c r="AV6" s="3"/>
      <c r="AW6" s="3"/>
      <c r="AX6" s="3"/>
    </row>
    <row r="7" spans="1:50" ht="72.95" customHeight="1">
      <c r="A7" s="18"/>
      <c r="B7" s="34">
        <v>2.1</v>
      </c>
      <c r="C7" s="172" t="str">
        <f>VLOOKUP(B7,Lookups!$E$8:$F$57,2,FALSE)</f>
        <v xml:space="preserve">Pathway mapping is fully embedded in system planning, and driving quality improvements </v>
      </c>
      <c r="D7" s="172"/>
      <c r="E7" s="16" t="s">
        <v>27</v>
      </c>
      <c r="F7" s="79"/>
      <c r="G7" s="79"/>
      <c r="H7" s="16" t="s">
        <v>27</v>
      </c>
      <c r="I7" s="16" t="s">
        <v>27</v>
      </c>
      <c r="J7" s="16" t="s">
        <v>27</v>
      </c>
      <c r="K7" s="19"/>
      <c r="AU7" s="3"/>
      <c r="AV7" s="3"/>
      <c r="AW7" s="3"/>
      <c r="AX7" s="3"/>
    </row>
    <row r="8" spans="1:50" ht="14.1" customHeight="1">
      <c r="A8" s="18"/>
      <c r="B8" s="173" t="str">
        <f>KLOES</f>
        <v>Scenarios</v>
      </c>
      <c r="C8" s="174"/>
      <c r="D8" s="179" t="str">
        <f>level1&amp;": Clinical processes are not quantified or operationally verified."</f>
        <v>Nothing: Clinical processes are not quantified or operationally verified.</v>
      </c>
      <c r="E8" s="180"/>
      <c r="F8" s="180"/>
      <c r="G8" s="180"/>
      <c r="H8" s="180"/>
      <c r="I8" s="180"/>
      <c r="J8" s="181"/>
      <c r="K8" s="19"/>
      <c r="AU8" s="3"/>
      <c r="AV8" s="3"/>
      <c r="AW8" s="3"/>
      <c r="AX8" s="3"/>
    </row>
    <row r="9" spans="1:50" ht="14.1" customHeight="1">
      <c r="A9" s="18"/>
      <c r="B9" s="175"/>
      <c r="C9" s="176"/>
      <c r="D9" s="182" t="str">
        <f>level2 &amp; ": Clinical pathways are understood and mapped out at service level, although flows may not be fully quantified, or are estimated with the help of clinical and operational input."</f>
        <v>Fair: Clinical pathways are understood and mapped out at service level, although flows may not be fully quantified, or are estimated with the help of clinical and operational input.</v>
      </c>
      <c r="E9" s="183"/>
      <c r="F9" s="183"/>
      <c r="G9" s="183"/>
      <c r="H9" s="183"/>
      <c r="I9" s="183"/>
      <c r="J9" s="184"/>
      <c r="K9" s="19"/>
      <c r="AU9" s="3"/>
      <c r="AV9" s="3"/>
      <c r="AW9" s="3"/>
      <c r="AX9" s="3"/>
    </row>
    <row r="10" spans="1:50" ht="30" customHeight="1">
      <c r="A10" s="18"/>
      <c r="B10" s="175"/>
      <c r="C10" s="176"/>
      <c r="D10" s="187" t="str">
        <f>level3 &amp; ": Clinical pathways have been mapped out, and are routinely reviewed with operational and clinical input. Relationships between key dependencies are identified and quantified, and the effects of changes in these relationships can be modelled."</f>
        <v>Good: Clinical pathways have been mapped out, and are routinely reviewed with operational and clinical input. Relationships between key dependencies are identified and quantified, and the effects of changes in these relationships can be modelled.</v>
      </c>
      <c r="E10" s="188"/>
      <c r="F10" s="188"/>
      <c r="G10" s="188"/>
      <c r="H10" s="188"/>
      <c r="I10" s="188"/>
      <c r="J10" s="189"/>
      <c r="K10" s="19"/>
      <c r="AU10" s="3"/>
      <c r="AV10" s="3"/>
      <c r="AW10" s="3"/>
      <c r="AX10" s="3"/>
    </row>
    <row r="11" spans="1:50" ht="29.25" customHeight="1">
      <c r="A11" s="18"/>
      <c r="B11" s="177"/>
      <c r="C11" s="178"/>
      <c r="D11" s="190" t="str">
        <f>level4 &amp; ": Pathway mapping is an ongoing activity that is integrated into normal business management and reviewed at regular intervals through the year. This knowledge"&amp;" is used to drive further improvement work (eg. refining clinical pathways, or simulate scenarios for business development)."</f>
        <v>Excellent: Pathway mapping is an ongoing activity that is integrated into normal business management and reviewed at regular intervals through the year. This knowledge is used to drive further improvement work (eg. refining clinical pathways, or simulate scenarios for business development).</v>
      </c>
      <c r="E11" s="191"/>
      <c r="F11" s="191"/>
      <c r="G11" s="191"/>
      <c r="H11" s="191"/>
      <c r="I11" s="191"/>
      <c r="J11" s="192"/>
      <c r="K11" s="19"/>
      <c r="AU11" s="3"/>
      <c r="AV11" s="3"/>
      <c r="AW11" s="3"/>
      <c r="AX11" s="3"/>
    </row>
    <row r="12" spans="1:50" ht="44.1" customHeight="1">
      <c r="A12" s="18"/>
      <c r="B12" s="34">
        <v>2.2000000000000002</v>
      </c>
      <c r="C12" s="172" t="str">
        <f>VLOOKUP(B12,Lookups!$E$8:$F$23,2,FALSE)</f>
        <v>Demand data quality is routinely validated, and assured to be of the highest possible quality</v>
      </c>
      <c r="D12" s="172"/>
      <c r="E12" s="16" t="s">
        <v>28</v>
      </c>
      <c r="F12" s="79"/>
      <c r="G12" s="79"/>
      <c r="H12" s="16" t="s">
        <v>27</v>
      </c>
      <c r="I12" s="16" t="s">
        <v>27</v>
      </c>
      <c r="J12" s="16" t="s">
        <v>27</v>
      </c>
      <c r="K12" s="19"/>
      <c r="AU12" s="3"/>
      <c r="AV12" s="3"/>
      <c r="AW12" s="3"/>
      <c r="AX12" s="3"/>
    </row>
    <row r="13" spans="1:50" ht="14.25" customHeight="1">
      <c r="A13" s="18"/>
      <c r="B13" s="173" t="str">
        <f>KLOES</f>
        <v>Scenarios</v>
      </c>
      <c r="C13" s="174"/>
      <c r="D13" s="179" t="str">
        <f>level1&amp;": Demand data is completed where possible, using 'best guesses' where this does not exist. This information will include an analysis of data quality, and may account for the effects of seasonality."</f>
        <v>Nothing: Demand data is completed where possible, using 'best guesses' where this does not exist. This information will include an analysis of data quality, and may account for the effects of seasonality.</v>
      </c>
      <c r="E13" s="180"/>
      <c r="F13" s="180"/>
      <c r="G13" s="180"/>
      <c r="H13" s="180"/>
      <c r="I13" s="180"/>
      <c r="J13" s="181"/>
      <c r="K13" s="19"/>
      <c r="AU13" s="3"/>
      <c r="AV13" s="3"/>
      <c r="AW13" s="3"/>
      <c r="AX13" s="3"/>
    </row>
    <row r="14" spans="1:50" ht="14.25" customHeight="1">
      <c r="A14" s="18"/>
      <c r="B14" s="175"/>
      <c r="C14" s="176"/>
      <c r="D14" s="182" t="str">
        <f>level2 &amp; ": Routine reports can be used to complete the model. There may need to be some data quality checks, and discussions with operational staff to ensure the modelling reflects their real-world experiences."</f>
        <v>Fair: Routine reports can be used to complete the model. There may need to be some data quality checks, and discussions with operational staff to ensure the modelling reflects their real-world experiences.</v>
      </c>
      <c r="E14" s="183"/>
      <c r="F14" s="183"/>
      <c r="G14" s="183"/>
      <c r="H14" s="183"/>
      <c r="I14" s="183"/>
      <c r="J14" s="184"/>
      <c r="K14" s="19"/>
      <c r="AU14" s="3"/>
      <c r="AV14" s="3"/>
      <c r="AW14" s="3"/>
      <c r="AX14" s="3"/>
    </row>
    <row r="15" spans="1:50" ht="14.25" customHeight="1">
      <c r="A15" s="18"/>
      <c r="B15" s="175"/>
      <c r="C15" s="176"/>
      <c r="D15" s="187" t="str">
        <f>level3 &amp; ": All data fields are completed using routine reporting. The reports may be set up specifically for the modelling, although a degree of manual entry may still be needed to transfer the information over."</f>
        <v>Good: All data fields are completed using routine reporting. The reports may be set up specifically for the modelling, although a degree of manual entry may still be needed to transfer the information over.</v>
      </c>
      <c r="E15" s="188"/>
      <c r="F15" s="188"/>
      <c r="G15" s="188"/>
      <c r="H15" s="188"/>
      <c r="I15" s="188"/>
      <c r="J15" s="189"/>
      <c r="K15" s="19"/>
      <c r="AU15" s="3"/>
      <c r="AV15" s="3"/>
      <c r="AW15" s="3"/>
      <c r="AX15" s="3"/>
    </row>
    <row r="16" spans="1:50" ht="30.75" customHeight="1">
      <c r="A16" s="18"/>
      <c r="B16" s="177"/>
      <c r="C16" s="178"/>
      <c r="D16" s="190" t="str">
        <f>level4 &amp; ": All data fields are automatically completed from routine reporting, with key metrics on data quality included as part of an integrated data package. "&amp;"Processes are in place to validate data quality issues and rectify them as part of standard operating practice."</f>
        <v>Excellent: All data fields are automatically completed from routine reporting, with key metrics on data quality included as part of an integrated data package. Processes are in place to validate data quality issues and rectify them as part of standard operating practice.</v>
      </c>
      <c r="E16" s="191"/>
      <c r="F16" s="191"/>
      <c r="G16" s="191"/>
      <c r="H16" s="191"/>
      <c r="I16" s="191"/>
      <c r="J16" s="192"/>
      <c r="K16" s="19"/>
      <c r="AU16" s="3"/>
      <c r="AV16" s="3"/>
      <c r="AW16" s="3"/>
      <c r="AX16" s="3"/>
    </row>
    <row r="17" spans="1:50" ht="57.95" customHeight="1">
      <c r="A17" s="18"/>
      <c r="B17" s="34">
        <v>2.2999999999999998</v>
      </c>
      <c r="C17" s="172" t="str">
        <f>VLOOKUP(B17,Lookups!$E$8:$F$57,2,FALSE)</f>
        <v>Capacity data quality is routinely validated, and assured to be of the highest possible quality</v>
      </c>
      <c r="D17" s="172"/>
      <c r="E17" s="16" t="s">
        <v>27</v>
      </c>
      <c r="F17" s="79"/>
      <c r="G17" s="79"/>
      <c r="H17" s="16" t="s">
        <v>27</v>
      </c>
      <c r="I17" s="16" t="s">
        <v>27</v>
      </c>
      <c r="J17" s="16" t="s">
        <v>27</v>
      </c>
      <c r="K17" s="19"/>
      <c r="AU17" s="3"/>
      <c r="AV17" s="3"/>
      <c r="AW17" s="3"/>
      <c r="AX17" s="3"/>
    </row>
    <row r="18" spans="1:50" ht="27.75" customHeight="1">
      <c r="A18" s="18"/>
      <c r="B18" s="173" t="str">
        <f>KLOES</f>
        <v>Scenarios</v>
      </c>
      <c r="C18" s="174"/>
      <c r="D18" s="179" t="str">
        <f>level1&amp;": Clinical processes are not quantified or operationally verified."</f>
        <v>Nothing: Clinical processes are not quantified or operationally verified.</v>
      </c>
      <c r="E18" s="180"/>
      <c r="F18" s="180"/>
      <c r="G18" s="180"/>
      <c r="H18" s="180"/>
      <c r="I18" s="180"/>
      <c r="J18" s="181"/>
      <c r="K18" s="19"/>
      <c r="AU18" s="3"/>
      <c r="AV18" s="3"/>
      <c r="AW18" s="3"/>
      <c r="AX18" s="3"/>
    </row>
    <row r="19" spans="1:50" ht="30" customHeight="1">
      <c r="A19" s="18"/>
      <c r="B19" s="175"/>
      <c r="C19" s="176"/>
      <c r="D19" s="182" t="str">
        <f>level2 &amp; ": Clinical pathways are understood and mapped out at service level, although flows may not be fully quantified, or are estimated with the help of clinical and operational input."</f>
        <v>Fair: Clinical pathways are understood and mapped out at service level, although flows may not be fully quantified, or are estimated with the help of clinical and operational input.</v>
      </c>
      <c r="E19" s="183"/>
      <c r="F19" s="183"/>
      <c r="G19" s="183"/>
      <c r="H19" s="183"/>
      <c r="I19" s="183"/>
      <c r="J19" s="184"/>
      <c r="K19" s="19"/>
      <c r="AU19" s="3"/>
      <c r="AV19" s="3"/>
      <c r="AW19" s="3"/>
      <c r="AX19" s="3"/>
    </row>
    <row r="20" spans="1:50" ht="29.25" customHeight="1">
      <c r="A20" s="18"/>
      <c r="B20" s="175"/>
      <c r="C20" s="176"/>
      <c r="D20" s="187" t="str">
        <f>level3 &amp; ": Clinical pathways have been mapped out, and are routinely reviewed with operational and clinical input. Relationships between key dependencies are identified and quantified, and the effects of changes in these relationships can be modelled."</f>
        <v>Good: Clinical pathways have been mapped out, and are routinely reviewed with operational and clinical input. Relationships between key dependencies are identified and quantified, and the effects of changes in these relationships can be modelled.</v>
      </c>
      <c r="E20" s="188"/>
      <c r="F20" s="188"/>
      <c r="G20" s="188"/>
      <c r="H20" s="188"/>
      <c r="I20" s="188"/>
      <c r="J20" s="189"/>
      <c r="K20" s="19"/>
      <c r="AU20" s="3"/>
      <c r="AV20" s="3"/>
      <c r="AW20" s="3"/>
      <c r="AX20" s="3"/>
    </row>
    <row r="21" spans="1:50" ht="32.25" customHeight="1">
      <c r="A21" s="18"/>
      <c r="B21" s="177"/>
      <c r="C21" s="178"/>
      <c r="D21" s="190" t="str">
        <f>level4 &amp; ": Pathway mapping is an ongoing activity that is integrated into normal business management and reviewed at regular intervals through the year. This knowledge"&amp;" is used to drive further improvement work (eg. refining clinical pathways, or simulate scenarios for business development)."</f>
        <v>Excellent: Pathway mapping is an ongoing activity that is integrated into normal business management and reviewed at regular intervals through the year. This knowledge is used to drive further improvement work (eg. refining clinical pathways, or simulate scenarios for business development).</v>
      </c>
      <c r="E21" s="191"/>
      <c r="F21" s="191"/>
      <c r="G21" s="191"/>
      <c r="H21" s="191"/>
      <c r="I21" s="191"/>
      <c r="J21" s="192"/>
      <c r="K21" s="19"/>
      <c r="AU21" s="3"/>
      <c r="AV21" s="3"/>
      <c r="AW21" s="3"/>
      <c r="AX21" s="3"/>
    </row>
    <row r="22" spans="1:50" s="2" customFormat="1" collapsed="1">
      <c r="A22" s="20"/>
      <c r="B22" s="124"/>
      <c r="C22" s="124"/>
      <c r="D22" s="45"/>
      <c r="E22" s="45"/>
      <c r="F22" s="125"/>
      <c r="G22" s="125"/>
      <c r="H22" s="45"/>
      <c r="I22" s="45"/>
      <c r="J22" s="126"/>
      <c r="K22" s="24"/>
      <c r="N22" s="7"/>
      <c r="AU22" s="1"/>
      <c r="AV22" s="1"/>
      <c r="AW22" s="1"/>
      <c r="AX22" s="1"/>
    </row>
    <row r="23" spans="1:50">
      <c r="B23" s="28"/>
      <c r="C23" s="28"/>
      <c r="D23" s="5"/>
      <c r="E23" s="5"/>
      <c r="F23" s="119"/>
      <c r="G23" s="119"/>
      <c r="H23" s="5"/>
      <c r="I23" s="5"/>
      <c r="J23" s="120"/>
    </row>
  </sheetData>
  <sheetProtection algorithmName="SHA-512" hashValue="6v19cYKJbXxXy5q1JYGihwUxqDXJtXZaR9L3CbciM7gejfysuZ4DurPdr5mzQvbAuOUmNmhrccLwfgyd1xIX2w==" saltValue="JAWNH12iRLlcxuQ9dww+7w==" spinCount="100000" sheet="1" formatColumns="0" formatRows="0"/>
  <mergeCells count="26">
    <mergeCell ref="A2:K2"/>
    <mergeCell ref="A3:K3"/>
    <mergeCell ref="B5:B6"/>
    <mergeCell ref="C5:D6"/>
    <mergeCell ref="E5:E6"/>
    <mergeCell ref="F5:F6"/>
    <mergeCell ref="G5:G6"/>
    <mergeCell ref="H5:J5"/>
    <mergeCell ref="C7:D7"/>
    <mergeCell ref="B8:C11"/>
    <mergeCell ref="D8:J8"/>
    <mergeCell ref="D9:J9"/>
    <mergeCell ref="D10:J10"/>
    <mergeCell ref="D11:J11"/>
    <mergeCell ref="C12:D12"/>
    <mergeCell ref="D16:J16"/>
    <mergeCell ref="D21:J21"/>
    <mergeCell ref="D18:J18"/>
    <mergeCell ref="D19:J19"/>
    <mergeCell ref="D20:J20"/>
    <mergeCell ref="B18:C21"/>
    <mergeCell ref="B13:C16"/>
    <mergeCell ref="D13:J13"/>
    <mergeCell ref="D14:J14"/>
    <mergeCell ref="D15:J15"/>
    <mergeCell ref="C17:D17"/>
  </mergeCells>
  <dataValidations count="1">
    <dataValidation type="list" allowBlank="1" showInputMessage="1" showErrorMessage="1" sqref="E7 E12 E17 H7:J7 H12:J12 H17:J17" xr:uid="{95447C66-6682-4BBD-8476-2E58B94A1A6C}">
      <formula1>scores</formula1>
    </dataValidation>
  </dataValidations>
  <pageMargins left="0.7" right="0.7" top="0.75" bottom="0.75" header="0.3" footer="0.3"/>
  <pageSetup scale="82"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5A16-0D0F-4EBB-AA08-FB0DFAFE4B92}">
  <sheetPr>
    <outlinePr summaryBelow="0" summaryRight="0"/>
    <pageSetUpPr fitToPage="1"/>
  </sheetPr>
  <dimension ref="A1:AX45"/>
  <sheetViews>
    <sheetView showGridLines="0" showRowColHeaders="0" zoomScale="70" zoomScaleNormal="70" workbookViewId="0">
      <selection activeCell="J1" sqref="J1"/>
    </sheetView>
  </sheetViews>
  <sheetFormatPr defaultColWidth="9" defaultRowHeight="14.25"/>
  <cols>
    <col min="1" max="1" width="1.625" style="1" customWidth="1"/>
    <col min="2" max="3" width="4.125" style="4" customWidth="1"/>
    <col min="4" max="4" width="44.375" style="1" customWidth="1"/>
    <col min="5" max="5" width="9" style="1" customWidth="1"/>
    <col min="6" max="7" width="48.625" customWidth="1"/>
    <col min="8" max="8" width="9" style="1" customWidth="1"/>
    <col min="9" max="9" width="8.75" style="1" customWidth="1"/>
    <col min="10" max="10" width="9" style="2" customWidth="1"/>
    <col min="11" max="11" width="1.375" style="2" customWidth="1"/>
    <col min="12" max="13" width="9" style="2"/>
    <col min="14" max="14" width="9" style="7"/>
    <col min="15" max="46" width="9" style="2"/>
    <col min="47" max="16384" width="9" style="1"/>
  </cols>
  <sheetData>
    <row r="1" spans="1:50">
      <c r="AU1" s="3"/>
      <c r="AV1" s="3"/>
      <c r="AW1" s="3"/>
      <c r="AX1" s="3"/>
    </row>
    <row r="2" spans="1:50" ht="54" customHeight="1">
      <c r="A2" s="193" t="str">
        <f>Domain03 &amp; " - " &amp; ToolName</f>
        <v>Data and Informatics - NHSE England Demand and Capacity Planning Roadmap and Maturity Tool</v>
      </c>
      <c r="B2" s="194"/>
      <c r="C2" s="194"/>
      <c r="D2" s="194"/>
      <c r="E2" s="194"/>
      <c r="F2" s="194"/>
      <c r="G2" s="194"/>
      <c r="H2" s="194"/>
      <c r="I2" s="194"/>
      <c r="J2" s="194"/>
      <c r="K2" s="195"/>
      <c r="AU2" s="3"/>
      <c r="AV2" s="3"/>
      <c r="AW2" s="3"/>
      <c r="AX2" s="3"/>
    </row>
    <row r="3" spans="1:50" ht="23.25" customHeight="1">
      <c r="A3" s="142" t="str">
        <f>"Domain 3 - " &amp; Domain03</f>
        <v>Domain 3 - Data and Informatics</v>
      </c>
      <c r="B3" s="143"/>
      <c r="C3" s="143"/>
      <c r="D3" s="143"/>
      <c r="E3" s="143"/>
      <c r="F3" s="143"/>
      <c r="G3" s="143"/>
      <c r="H3" s="143"/>
      <c r="I3" s="143"/>
      <c r="J3" s="143"/>
      <c r="K3" s="144"/>
      <c r="AU3" s="3"/>
      <c r="AV3" s="3"/>
      <c r="AW3" s="3"/>
      <c r="AX3" s="3"/>
    </row>
    <row r="4" spans="1:50" ht="12.75" customHeight="1" thickBot="1">
      <c r="A4" s="18"/>
      <c r="D4" s="9"/>
      <c r="E4" s="9"/>
      <c r="F4" s="80"/>
      <c r="G4" s="80"/>
      <c r="H4" s="4"/>
      <c r="I4" s="4"/>
      <c r="J4" s="4"/>
      <c r="K4" s="19"/>
      <c r="AU4" s="3"/>
      <c r="AV4" s="3"/>
      <c r="AW4" s="3"/>
      <c r="AX4" s="3"/>
    </row>
    <row r="5" spans="1:50" ht="12.75" customHeight="1">
      <c r="A5" s="18"/>
      <c r="B5" s="196"/>
      <c r="C5" s="198" t="s">
        <v>20</v>
      </c>
      <c r="D5" s="198"/>
      <c r="E5" s="200" t="s">
        <v>21</v>
      </c>
      <c r="F5" s="202" t="s">
        <v>22</v>
      </c>
      <c r="G5" s="204" t="s">
        <v>23</v>
      </c>
      <c r="H5" s="206" t="s">
        <v>24</v>
      </c>
      <c r="I5" s="206"/>
      <c r="J5" s="207"/>
      <c r="K5" s="19"/>
      <c r="AU5" s="3"/>
      <c r="AV5" s="3"/>
      <c r="AW5" s="3"/>
      <c r="AX5" s="3"/>
    </row>
    <row r="6" spans="1:50" ht="12.75" customHeight="1" thickBot="1">
      <c r="A6" s="18"/>
      <c r="B6" s="197"/>
      <c r="C6" s="199"/>
      <c r="D6" s="199"/>
      <c r="E6" s="201" t="s">
        <v>25</v>
      </c>
      <c r="F6" s="203"/>
      <c r="G6" s="205"/>
      <c r="H6" s="11">
        <f>IF(ReviewDate1="","",ReviewDate1)</f>
        <v>44927</v>
      </c>
      <c r="I6" s="11">
        <f>IF(ReviewDate2="","",ReviewDate2)</f>
        <v>45114</v>
      </c>
      <c r="J6" s="12">
        <f>IF(ReviewDate3="","",ReviewDate3)</f>
        <v>45272</v>
      </c>
      <c r="K6" s="19"/>
      <c r="AU6" s="3"/>
      <c r="AV6" s="3"/>
      <c r="AW6" s="3"/>
      <c r="AX6" s="3"/>
    </row>
    <row r="7" spans="1:50" ht="47.45" customHeight="1">
      <c r="A7" s="18"/>
      <c r="B7" s="34">
        <v>3.1</v>
      </c>
      <c r="C7" s="172" t="str">
        <f>VLOOKUP(B7,Lookups!$E$8:$F$57,2,FALSE)</f>
        <v xml:space="preserve">Demand data is routinely available, and enables forecasting of possible future states </v>
      </c>
      <c r="D7" s="172"/>
      <c r="E7" s="16" t="s">
        <v>27</v>
      </c>
      <c r="F7" s="79"/>
      <c r="G7" s="79"/>
      <c r="H7" s="16" t="s">
        <v>27</v>
      </c>
      <c r="I7" s="16" t="s">
        <v>27</v>
      </c>
      <c r="J7" s="16" t="s">
        <v>27</v>
      </c>
      <c r="K7" s="19"/>
      <c r="AU7" s="3"/>
      <c r="AV7" s="3"/>
      <c r="AW7" s="3"/>
      <c r="AX7" s="3"/>
    </row>
    <row r="8" spans="1:50" ht="14.25" customHeight="1">
      <c r="A8" s="18"/>
      <c r="B8" s="173" t="str">
        <f>KLOES</f>
        <v>Scenarios</v>
      </c>
      <c r="C8" s="174"/>
      <c r="D8" s="179" t="str">
        <f>level1&amp;": Demand forecasting is limited to 'rule of  thumb' estimates based on historic activity."</f>
        <v>Nothing: Demand forecasting is limited to 'rule of  thumb' estimates based on historic activity.</v>
      </c>
      <c r="E8" s="180"/>
      <c r="F8" s="180"/>
      <c r="G8" s="180"/>
      <c r="H8" s="180"/>
      <c r="I8" s="180"/>
      <c r="J8" s="181"/>
      <c r="K8" s="19"/>
      <c r="AU8" s="3"/>
      <c r="AV8" s="3"/>
      <c r="AW8" s="3"/>
      <c r="AX8" s="3"/>
    </row>
    <row r="9" spans="1:50" ht="15" customHeight="1">
      <c r="A9" s="18"/>
      <c r="B9" s="175"/>
      <c r="C9" s="176"/>
      <c r="D9" s="182" t="str">
        <f>level2 &amp; ": Sources of demand have been identified for some processes, which can be extracted from data systems."</f>
        <v>Fair: Sources of demand have been identified for some processes, which can be extracted from data systems.</v>
      </c>
      <c r="E9" s="183"/>
      <c r="F9" s="183"/>
      <c r="G9" s="183"/>
      <c r="H9" s="183"/>
      <c r="I9" s="183"/>
      <c r="J9" s="184"/>
      <c r="K9" s="19"/>
      <c r="AU9" s="3"/>
      <c r="AV9" s="3"/>
      <c r="AW9" s="3"/>
      <c r="AX9" s="3"/>
    </row>
    <row r="10" spans="1:50" ht="14.25" customHeight="1">
      <c r="A10" s="18"/>
      <c r="B10" s="175"/>
      <c r="C10" s="176"/>
      <c r="D10" s="187" t="str">
        <f>level3 &amp; ": Sources of demand are clearly identified, and data can be routinely retrieved in electronic form. Key demand metrics are routinely monitored to check for outliers or trend changes."</f>
        <v>Good: Sources of demand are clearly identified, and data can be routinely retrieved in electronic form. Key demand metrics are routinely monitored to check for outliers or trend changes.</v>
      </c>
      <c r="E10" s="188"/>
      <c r="F10" s="188"/>
      <c r="G10" s="188"/>
      <c r="H10" s="188"/>
      <c r="I10" s="188"/>
      <c r="J10" s="189"/>
      <c r="K10" s="19"/>
      <c r="AU10" s="3"/>
      <c r="AV10" s="3"/>
      <c r="AW10" s="3"/>
      <c r="AX10" s="3"/>
    </row>
    <row r="11" spans="1:50" ht="14.25" customHeight="1">
      <c r="A11" s="18"/>
      <c r="B11" s="177"/>
      <c r="C11" s="178"/>
      <c r="D11" s="190" t="str">
        <f>level4 &amp; ": Demand data is routinely collected and monitored, with intelligent systems used to give service managers advance warning of anomalous behaviour so they can take prompt action."</f>
        <v>Excellent: Demand data is routinely collected and monitored, with intelligent systems used to give service managers advance warning of anomalous behaviour so they can take prompt action.</v>
      </c>
      <c r="E11" s="191"/>
      <c r="F11" s="191"/>
      <c r="G11" s="191"/>
      <c r="H11" s="191"/>
      <c r="I11" s="191"/>
      <c r="J11" s="192"/>
      <c r="K11" s="19"/>
      <c r="AU11" s="3"/>
      <c r="AV11" s="3"/>
      <c r="AW11" s="3"/>
      <c r="AX11" s="3"/>
    </row>
    <row r="12" spans="1:50" ht="42.75" customHeight="1">
      <c r="A12" s="18"/>
      <c r="B12" s="34">
        <v>3.2</v>
      </c>
      <c r="C12" s="172" t="str">
        <f>VLOOKUP(B12,Lookups!$E$8:$F$57,2,FALSE)</f>
        <v xml:space="preserve">Planned and actual capacity data is routinely reported from electronic patient records to enable operational management and workforce planning. </v>
      </c>
      <c r="D12" s="172"/>
      <c r="E12" s="16" t="s">
        <v>26</v>
      </c>
      <c r="F12" s="79"/>
      <c r="G12" s="79"/>
      <c r="H12" s="16" t="s">
        <v>28</v>
      </c>
      <c r="I12" s="16" t="s">
        <v>28</v>
      </c>
      <c r="J12" s="16" t="s">
        <v>28</v>
      </c>
      <c r="K12" s="19"/>
      <c r="AU12" s="3"/>
      <c r="AV12" s="3"/>
      <c r="AW12" s="3"/>
      <c r="AX12" s="3"/>
    </row>
    <row r="13" spans="1:50" ht="19.5" customHeight="1">
      <c r="A13" s="18"/>
      <c r="B13" s="173" t="s">
        <v>30</v>
      </c>
      <c r="C13" s="174"/>
      <c r="D13" s="179" t="str">
        <f>level1&amp;": Clinical capacity is not systematically collated in electronic format and may not be well known or operationally verified"</f>
        <v>Nothing: Clinical capacity is not systematically collated in electronic format and may not be well known or operationally verified</v>
      </c>
      <c r="E13" s="180"/>
      <c r="F13" s="180"/>
      <c r="G13" s="180"/>
      <c r="H13" s="180"/>
      <c r="I13" s="180"/>
      <c r="J13" s="181"/>
      <c r="K13" s="19"/>
      <c r="AU13" s="3"/>
      <c r="AV13" s="3"/>
      <c r="AW13" s="3"/>
      <c r="AX13" s="3"/>
    </row>
    <row r="14" spans="1:50" ht="17.100000000000001" customHeight="1">
      <c r="A14" s="18"/>
      <c r="B14" s="175"/>
      <c r="C14" s="176"/>
      <c r="D14" s="182" t="str">
        <f>level2 &amp; ": Capacity information is accessible in electronic format, and has had some degree of validation from operational and clinical staff."</f>
        <v>Fair: Capacity information is accessible in electronic format, and has had some degree of validation from operational and clinical staff.</v>
      </c>
      <c r="E14" s="183"/>
      <c r="F14" s="183"/>
      <c r="G14" s="183"/>
      <c r="H14" s="183"/>
      <c r="I14" s="183"/>
      <c r="J14" s="184"/>
      <c r="K14" s="19"/>
      <c r="AU14" s="3"/>
      <c r="AV14" s="3"/>
      <c r="AW14" s="3"/>
      <c r="AX14" s="3"/>
    </row>
    <row r="15" spans="1:50" ht="29.25" customHeight="1">
      <c r="A15" s="18"/>
      <c r="B15" s="175"/>
      <c r="C15" s="176"/>
      <c r="D15" s="187" t="str">
        <f>level3 &amp; ": Capacity information is routinely available in electronic form for modelled services, and there are routine processes in place to ensure information is regularly updated and verified. There may be some linkages to workforce and rota planning."</f>
        <v>Good: Capacity information is routinely available in electronic form for modelled services, and there are routine processes in place to ensure information is regularly updated and verified. There may be some linkages to workforce and rota planning.</v>
      </c>
      <c r="E15" s="188"/>
      <c r="F15" s="188"/>
      <c r="G15" s="188"/>
      <c r="H15" s="188"/>
      <c r="I15" s="188"/>
      <c r="J15" s="189"/>
      <c r="K15" s="19"/>
      <c r="AU15" s="3"/>
      <c r="AV15" s="3"/>
      <c r="AW15" s="3"/>
      <c r="AX15" s="3"/>
    </row>
    <row r="16" spans="1:50" ht="14.25" customHeight="1">
      <c r="A16" s="18"/>
      <c r="B16" s="177"/>
      <c r="C16" s="178"/>
      <c r="D16" s="190" t="str">
        <f>level4 &amp; ": Capacity information is regularly updated and closely linked to rotas and workforce systems to allow service level as well as individual workload management."</f>
        <v>Excellent: Capacity information is regularly updated and closely linked to rotas and workforce systems to allow service level as well as individual workload management.</v>
      </c>
      <c r="E16" s="191"/>
      <c r="F16" s="191"/>
      <c r="G16" s="191"/>
      <c r="H16" s="191"/>
      <c r="I16" s="191"/>
      <c r="J16" s="192"/>
      <c r="K16" s="19"/>
      <c r="AU16" s="3"/>
      <c r="AV16" s="3"/>
      <c r="AW16" s="3"/>
      <c r="AX16" s="3"/>
    </row>
    <row r="17" spans="1:50" ht="53.1" customHeight="1">
      <c r="A17" s="18"/>
      <c r="B17" s="34">
        <v>3.3</v>
      </c>
      <c r="C17" s="172" t="str">
        <f>VLOOKUP(B17,Lookups!$E$8:$F$57,2,FALSE)</f>
        <v xml:space="preserve">Digital systems are sufficiently mature to provide the full range of data required for demand and capacity planning in real time. </v>
      </c>
      <c r="D17" s="172"/>
      <c r="E17" s="16" t="s">
        <v>29</v>
      </c>
      <c r="F17" s="79"/>
      <c r="G17" s="79"/>
      <c r="H17" s="16" t="s">
        <v>29</v>
      </c>
      <c r="I17" s="16" t="s">
        <v>28</v>
      </c>
      <c r="J17" s="16" t="s">
        <v>26</v>
      </c>
      <c r="K17" s="19"/>
      <c r="AU17" s="3"/>
      <c r="AV17" s="3"/>
      <c r="AW17" s="3"/>
      <c r="AX17" s="3"/>
    </row>
    <row r="18" spans="1:50" ht="17.100000000000001" customHeight="1">
      <c r="A18" s="18"/>
      <c r="B18" s="173" t="s">
        <v>30</v>
      </c>
      <c r="C18" s="174"/>
      <c r="D18" s="179" t="str">
        <f>level1&amp;": Data is not routinely stored in electronic format, and may not be available in a single repository, or in real time."</f>
        <v>Nothing: Data is not routinely stored in electronic format, and may not be available in a single repository, or in real time.</v>
      </c>
      <c r="E18" s="180"/>
      <c r="F18" s="180"/>
      <c r="G18" s="180"/>
      <c r="H18" s="180"/>
      <c r="I18" s="180"/>
      <c r="J18" s="181"/>
      <c r="K18" s="19"/>
      <c r="AU18" s="3"/>
      <c r="AV18" s="3"/>
      <c r="AW18" s="3"/>
      <c r="AX18" s="3"/>
    </row>
    <row r="19" spans="1:50" ht="14.25" customHeight="1">
      <c r="A19" s="18"/>
      <c r="B19" s="175"/>
      <c r="C19" s="176"/>
      <c r="D19" s="182" t="str">
        <f>level2 &amp; ": Data is entered in electronic format, although it may involve a degree of manual intervention. Not all data items may be available in real time."</f>
        <v>Fair: Data is entered in electronic format, although it may involve a degree of manual intervention. Not all data items may be available in real time.</v>
      </c>
      <c r="E19" s="183"/>
      <c r="F19" s="183"/>
      <c r="G19" s="183"/>
      <c r="H19" s="183"/>
      <c r="I19" s="183"/>
      <c r="J19" s="184"/>
      <c r="K19" s="19"/>
      <c r="AU19" s="3"/>
      <c r="AV19" s="3"/>
      <c r="AW19" s="3"/>
      <c r="AX19" s="3"/>
    </row>
    <row r="20" spans="1:50" ht="14.45" customHeight="1">
      <c r="A20" s="18"/>
      <c r="B20" s="175"/>
      <c r="C20" s="176"/>
      <c r="D20" s="187" t="str">
        <f>level3 &amp; ": Data is routinely recorded and cleansed, with error routines in place at point of data entry to minimise 'wrong' responses."</f>
        <v>Good: Data is routinely recorded and cleansed, with error routines in place at point of data entry to minimise 'wrong' responses.</v>
      </c>
      <c r="E20" s="188"/>
      <c r="F20" s="188"/>
      <c r="G20" s="188"/>
      <c r="H20" s="188"/>
      <c r="I20" s="188"/>
      <c r="J20" s="189"/>
      <c r="K20" s="19"/>
      <c r="AU20" s="3"/>
      <c r="AV20" s="3"/>
      <c r="AW20" s="3"/>
      <c r="AX20" s="3"/>
    </row>
    <row r="21" spans="1:50" ht="14.25" customHeight="1">
      <c r="A21" s="18"/>
      <c r="B21" s="177"/>
      <c r="C21" s="178"/>
      <c r="D21" s="190" t="str">
        <f>level4 &amp; ": All data is routinely collected in electronic format in real-time. Data collection may include some degree of automation, using intelligent systems."</f>
        <v>Excellent: All data is routinely collected in electronic format in real-time. Data collection may include some degree of automation, using intelligent systems.</v>
      </c>
      <c r="E21" s="191"/>
      <c r="F21" s="191"/>
      <c r="G21" s="191"/>
      <c r="H21" s="191"/>
      <c r="I21" s="191"/>
      <c r="J21" s="192"/>
      <c r="K21" s="19"/>
      <c r="AU21" s="3"/>
      <c r="AV21" s="3"/>
      <c r="AW21" s="3"/>
      <c r="AX21" s="3"/>
    </row>
    <row r="22" spans="1:50" ht="30" customHeight="1">
      <c r="A22" s="18"/>
      <c r="B22" s="34">
        <v>3.4</v>
      </c>
      <c r="C22" s="172" t="str">
        <f>VLOOKUP(B22,Lookups!$E$8:$F$57,2,FALSE)</f>
        <v xml:space="preserve">Data quality is routinely assured through automated flagging of items requiring manual validation  </v>
      </c>
      <c r="D22" s="172"/>
      <c r="E22" s="16" t="s">
        <v>29</v>
      </c>
      <c r="F22" s="79"/>
      <c r="G22" s="79"/>
      <c r="H22" s="16" t="s">
        <v>29</v>
      </c>
      <c r="I22" s="16" t="s">
        <v>28</v>
      </c>
      <c r="J22" s="16" t="s">
        <v>28</v>
      </c>
      <c r="K22" s="19"/>
      <c r="AU22" s="3"/>
      <c r="AV22" s="3"/>
      <c r="AW22" s="3"/>
      <c r="AX22" s="3"/>
    </row>
    <row r="23" spans="1:50" ht="13.5" customHeight="1">
      <c r="A23" s="18"/>
      <c r="B23" s="173" t="s">
        <v>30</v>
      </c>
      <c r="C23" s="174"/>
      <c r="D23" s="179" t="str">
        <f>level1&amp;": Errors in data items are not uncommon - the scale of data quality issues may not be known."</f>
        <v>Nothing: Errors in data items are not uncommon - the scale of data quality issues may not be known.</v>
      </c>
      <c r="E23" s="180"/>
      <c r="F23" s="180"/>
      <c r="G23" s="180"/>
      <c r="H23" s="180"/>
      <c r="I23" s="180"/>
      <c r="J23" s="181"/>
      <c r="K23" s="19"/>
      <c r="AU23" s="3"/>
      <c r="AV23" s="3"/>
      <c r="AW23" s="3"/>
      <c r="AX23" s="3"/>
    </row>
    <row r="24" spans="1:50" ht="14.25" customHeight="1">
      <c r="A24" s="18"/>
      <c r="B24" s="175"/>
      <c r="C24" s="176"/>
      <c r="D24" s="182" t="str">
        <f>level2 &amp; ": Data errors are known to exist and can be quantified. Some degree of monitoring may be in place, along with validation processes to mitigate the impact of these errors."</f>
        <v>Fair: Data errors are known to exist and can be quantified. Some degree of monitoring may be in place, along with validation processes to mitigate the impact of these errors.</v>
      </c>
      <c r="E24" s="183"/>
      <c r="F24" s="183"/>
      <c r="G24" s="183"/>
      <c r="H24" s="183"/>
      <c r="I24" s="183"/>
      <c r="J24" s="184"/>
      <c r="K24" s="19"/>
      <c r="AU24" s="3"/>
      <c r="AV24" s="3"/>
      <c r="AW24" s="3"/>
      <c r="AX24" s="3"/>
    </row>
    <row r="25" spans="1:50" ht="14.25" customHeight="1">
      <c r="A25" s="18"/>
      <c r="B25" s="175"/>
      <c r="C25" s="176"/>
      <c r="D25" s="187" t="str">
        <f>level3 &amp; ": Data quality errors for key metrics are routinely checked (manually or electronically) and reflected in routine reporting."</f>
        <v>Good: Data quality errors for key metrics are routinely checked (manually or electronically) and reflected in routine reporting.</v>
      </c>
      <c r="E25" s="188"/>
      <c r="F25" s="188"/>
      <c r="G25" s="188"/>
      <c r="H25" s="188"/>
      <c r="I25" s="188"/>
      <c r="J25" s="189"/>
      <c r="K25" s="19"/>
      <c r="AU25" s="3"/>
      <c r="AV25" s="3"/>
      <c r="AW25" s="3"/>
      <c r="AX25" s="3"/>
    </row>
    <row r="26" spans="1:50" ht="32.25" customHeight="1">
      <c r="A26" s="18"/>
      <c r="B26" s="177"/>
      <c r="C26" s="178"/>
      <c r="D26" s="190" t="str">
        <f>level4 &amp; ": Data is routinely cleansed and transformed in a suitable environment, and data quality errors are pre-emptively highlighted using automated application of business rules with defined triggers for further action."</f>
        <v>Excellent: Data is routinely cleansed and transformed in a suitable environment, and data quality errors are pre-emptively highlighted using automated application of business rules with defined triggers for further action.</v>
      </c>
      <c r="E26" s="191"/>
      <c r="F26" s="191"/>
      <c r="G26" s="191"/>
      <c r="H26" s="191"/>
      <c r="I26" s="191"/>
      <c r="J26" s="192"/>
      <c r="K26" s="19"/>
      <c r="AU26" s="3"/>
      <c r="AV26" s="3"/>
      <c r="AW26" s="3"/>
      <c r="AX26" s="3"/>
    </row>
    <row r="27" spans="1:50" ht="30" customHeight="1">
      <c r="A27" s="18"/>
      <c r="B27" s="34">
        <v>3.5</v>
      </c>
      <c r="C27" s="172" t="str">
        <f>VLOOKUP(B27,Lookups!$E$8:$F$57,2,FALSE)</f>
        <v>All data required by operational managers are available through digital dashboards, and supported by highlight reporting nd notifications</v>
      </c>
      <c r="D27" s="172"/>
      <c r="E27" s="16" t="s">
        <v>29</v>
      </c>
      <c r="F27" s="79"/>
      <c r="G27" s="79"/>
      <c r="H27" s="16" t="s">
        <v>28</v>
      </c>
      <c r="I27" s="16" t="s">
        <v>26</v>
      </c>
      <c r="J27" s="16" t="s">
        <v>26</v>
      </c>
      <c r="K27" s="19"/>
      <c r="AU27" s="3"/>
      <c r="AV27" s="3"/>
      <c r="AW27" s="3"/>
      <c r="AX27" s="3"/>
    </row>
    <row r="28" spans="1:50" ht="29.25" customHeight="1">
      <c r="A28" s="18"/>
      <c r="B28" s="173" t="s">
        <v>30</v>
      </c>
      <c r="C28" s="174"/>
      <c r="D28" s="179" t="str">
        <f>level1&amp;": Key metrics may need to be extracted on an ad hoc basis using bespoke code. "</f>
        <v xml:space="preserve">Nothing: Key metrics may need to be extracted on an ad hoc basis using bespoke code. </v>
      </c>
      <c r="E28" s="180"/>
      <c r="F28" s="180"/>
      <c r="G28" s="180"/>
      <c r="H28" s="180"/>
      <c r="I28" s="180"/>
      <c r="J28" s="181"/>
      <c r="K28" s="19"/>
      <c r="AU28" s="3"/>
      <c r="AV28" s="3"/>
      <c r="AW28" s="3"/>
      <c r="AX28" s="3"/>
    </row>
    <row r="29" spans="1:50" ht="14.25" customHeight="1">
      <c r="A29" s="18"/>
      <c r="B29" s="175"/>
      <c r="C29" s="176"/>
      <c r="D29" s="182" t="str">
        <f>level2 &amp; ": Key metrics are routinely available, although less common reporting may still require bespoke code and analysis."</f>
        <v>Fair: Key metrics are routinely available, although less common reporting may still require bespoke code and analysis.</v>
      </c>
      <c r="E29" s="183"/>
      <c r="F29" s="183"/>
      <c r="G29" s="183"/>
      <c r="H29" s="183"/>
      <c r="I29" s="183"/>
      <c r="J29" s="184"/>
      <c r="K29" s="19"/>
      <c r="AU29" s="3"/>
      <c r="AV29" s="3"/>
      <c r="AW29" s="3"/>
      <c r="AX29" s="3"/>
    </row>
    <row r="30" spans="1:50" ht="14.25" customHeight="1">
      <c r="A30" s="18"/>
      <c r="B30" s="175"/>
      <c r="C30" s="176"/>
      <c r="D30" s="187" t="str">
        <f>level3 &amp; ": Key metrics are routinely available, and service managers can carry out their own investigations, drilling down into information, on a limited basis using business intelligence software."</f>
        <v>Good: Key metrics are routinely available, and service managers can carry out their own investigations, drilling down into information, on a limited basis using business intelligence software.</v>
      </c>
      <c r="E30" s="188"/>
      <c r="F30" s="188"/>
      <c r="G30" s="188"/>
      <c r="H30" s="188"/>
      <c r="I30" s="188"/>
      <c r="J30" s="189"/>
      <c r="K30" s="19"/>
      <c r="AU30" s="3"/>
      <c r="AV30" s="3"/>
      <c r="AW30" s="3"/>
      <c r="AX30" s="3"/>
    </row>
    <row r="31" spans="1:50" ht="31.5" customHeight="1">
      <c r="A31" s="18"/>
      <c r="B31" s="177"/>
      <c r="C31" s="178"/>
      <c r="D31" s="190" t="str">
        <f>level4 &amp; ": Key metrics are available to operational managers via suitable interfaces, including the capability to drill down into detail as needed. "&amp;"Routine reports include intelligent triggers to inform managers when further investigation is required for anomalies."</f>
        <v>Excellent: Key metrics are available to operational managers via suitable interfaces, including the capability to drill down into detail as needed. Routine reports include intelligent triggers to inform managers when further investigation is required for anomalies.</v>
      </c>
      <c r="E31" s="191"/>
      <c r="F31" s="191"/>
      <c r="G31" s="191"/>
      <c r="H31" s="191"/>
      <c r="I31" s="191"/>
      <c r="J31" s="192"/>
      <c r="K31" s="19"/>
      <c r="AU31" s="3"/>
      <c r="AV31" s="3"/>
      <c r="AW31" s="3"/>
      <c r="AX31" s="3"/>
    </row>
    <row r="32" spans="1:50" ht="36" customHeight="1">
      <c r="A32" s="18"/>
      <c r="B32" s="34">
        <v>3.6</v>
      </c>
      <c r="C32" s="172" t="str">
        <f>VLOOKUP(B32,Lookups!$E$8:$F$57,2,FALSE)</f>
        <v xml:space="preserve">Interpretation of all routine reporting is supported by automated exception and anomoly reporting. </v>
      </c>
      <c r="D32" s="172"/>
      <c r="E32" s="16" t="s">
        <v>29</v>
      </c>
      <c r="F32" s="79"/>
      <c r="G32" s="79"/>
      <c r="H32" s="16" t="s">
        <v>29</v>
      </c>
      <c r="I32" s="16" t="s">
        <v>28</v>
      </c>
      <c r="J32" s="16" t="s">
        <v>26</v>
      </c>
      <c r="K32" s="19"/>
      <c r="AU32" s="3"/>
      <c r="AV32" s="3"/>
      <c r="AW32" s="3"/>
      <c r="AX32" s="3"/>
    </row>
    <row r="33" spans="1:50" ht="29.25" customHeight="1">
      <c r="A33" s="18"/>
      <c r="B33" s="173" t="s">
        <v>30</v>
      </c>
      <c r="C33" s="174"/>
      <c r="D33" s="179" t="str">
        <f>level1&amp;": The majority of reporting requires some degree of manual intervention."</f>
        <v>Nothing: The majority of reporting requires some degree of manual intervention.</v>
      </c>
      <c r="E33" s="180"/>
      <c r="F33" s="180"/>
      <c r="G33" s="180"/>
      <c r="H33" s="180"/>
      <c r="I33" s="180"/>
      <c r="J33" s="181"/>
      <c r="K33" s="19"/>
      <c r="AU33" s="3"/>
      <c r="AV33" s="3"/>
      <c r="AW33" s="3"/>
      <c r="AX33" s="3"/>
    </row>
    <row r="34" spans="1:50" ht="14.25" customHeight="1">
      <c r="A34" s="18"/>
      <c r="B34" s="175"/>
      <c r="C34" s="176"/>
      <c r="D34" s="182" t="str">
        <f>level2 &amp; ": The production and distribution of some routine reports may be automated. Anomaly detection may be limited, so manual interpretations may still be required to highlight potential issues."</f>
        <v>Fair: The production and distribution of some routine reports may be automated. Anomaly detection may be limited, so manual interpretations may still be required to highlight potential issues.</v>
      </c>
      <c r="E34" s="183"/>
      <c r="F34" s="183"/>
      <c r="G34" s="183"/>
      <c r="H34" s="183"/>
      <c r="I34" s="183"/>
      <c r="J34" s="184"/>
      <c r="K34" s="19"/>
      <c r="AU34" s="3"/>
      <c r="AV34" s="3"/>
      <c r="AW34" s="3"/>
      <c r="AX34" s="3"/>
    </row>
    <row r="35" spans="1:50" ht="31.5" customHeight="1">
      <c r="A35" s="18"/>
      <c r="B35" s="175"/>
      <c r="C35" s="176"/>
      <c r="D35" s="187" t="str">
        <f>level3 &amp; ": The majority of routine reports are automatically generated and published. Business rules and data transformations may also be automatically applied to data, with error trapping routines in place to highlight anomalies."</f>
        <v>Good: The majority of routine reports are automatically generated and published. Business rules and data transformations may also be automatically applied to data, with error trapping routines in place to highlight anomalies.</v>
      </c>
      <c r="E35" s="188"/>
      <c r="F35" s="188"/>
      <c r="G35" s="188"/>
      <c r="H35" s="188"/>
      <c r="I35" s="188"/>
      <c r="J35" s="189"/>
      <c r="K35" s="19"/>
      <c r="AU35" s="3"/>
      <c r="AV35" s="3"/>
      <c r="AW35" s="3"/>
      <c r="AX35" s="3"/>
    </row>
    <row r="36" spans="1:50" ht="14.25" customHeight="1">
      <c r="A36" s="18"/>
      <c r="B36" s="177"/>
      <c r="C36" s="178"/>
      <c r="D36" s="190" t="str">
        <f>level4 &amp; ": Routine reports are automated, with systems in place to highlight anomalies for further attention."</f>
        <v>Excellent: Routine reports are automated, with systems in place to highlight anomalies for further attention.</v>
      </c>
      <c r="E36" s="191"/>
      <c r="F36" s="191"/>
      <c r="G36" s="191"/>
      <c r="H36" s="191"/>
      <c r="I36" s="191"/>
      <c r="J36" s="192"/>
      <c r="K36" s="19"/>
      <c r="AU36" s="3"/>
      <c r="AV36" s="3"/>
      <c r="AW36" s="3"/>
      <c r="AX36" s="3"/>
    </row>
    <row r="37" spans="1:50" ht="62.1" customHeight="1">
      <c r="A37" s="18"/>
      <c r="B37" s="34">
        <v>3.7</v>
      </c>
      <c r="C37" s="172" t="str">
        <f>VLOOKUP(B37,Lookups!$E$8:$F$23,2,FALSE)</f>
        <v>There is sufficient capacity and capability within business intelligence functions to sustainably deliver the business as usual and transfromational objectives of the system</v>
      </c>
      <c r="D37" s="172"/>
      <c r="E37" s="16" t="s">
        <v>29</v>
      </c>
      <c r="F37" s="79"/>
      <c r="G37" s="79"/>
      <c r="H37" s="16" t="s">
        <v>28</v>
      </c>
      <c r="I37" s="16" t="s">
        <v>28</v>
      </c>
      <c r="J37" s="16" t="s">
        <v>26</v>
      </c>
      <c r="K37" s="19"/>
      <c r="AU37" s="3"/>
      <c r="AV37" s="3"/>
      <c r="AW37" s="3"/>
      <c r="AX37" s="3"/>
    </row>
    <row r="38" spans="1:50" ht="15" customHeight="1">
      <c r="A38" s="18"/>
      <c r="B38" s="173" t="s">
        <v>30</v>
      </c>
      <c r="C38" s="174"/>
      <c r="D38" s="179" t="str">
        <f>level1&amp;": Informatics can provide basic reporting functions, and generate some bespoke reporting, but may be limited by technology or skillsets."</f>
        <v>Nothing: Informatics can provide basic reporting functions, and generate some bespoke reporting, but may be limited by technology or skillsets.</v>
      </c>
      <c r="E38" s="180"/>
      <c r="F38" s="180"/>
      <c r="G38" s="180"/>
      <c r="H38" s="180"/>
      <c r="I38" s="180"/>
      <c r="J38" s="181"/>
      <c r="K38" s="19"/>
      <c r="AU38" s="3"/>
      <c r="AV38" s="3"/>
      <c r="AW38" s="3"/>
      <c r="AX38" s="3"/>
    </row>
    <row r="39" spans="1:50" ht="15.95" customHeight="1">
      <c r="A39" s="18"/>
      <c r="B39" s="175"/>
      <c r="C39" s="176"/>
      <c r="D39" s="182" t="str">
        <f>level2 &amp; ": In addition to routine reporting, drill-down investigations may also be supported. More advanced forecasting / analytics may not be possible to due limitations in technology or skillsets."</f>
        <v>Fair: In addition to routine reporting, drill-down investigations may also be supported. More advanced forecasting / analytics may not be possible to due limitations in technology or skillsets.</v>
      </c>
      <c r="E39" s="183"/>
      <c r="F39" s="183"/>
      <c r="G39" s="183"/>
      <c r="H39" s="183"/>
      <c r="I39" s="183"/>
      <c r="J39" s="184"/>
      <c r="K39" s="19"/>
      <c r="AU39" s="3"/>
      <c r="AV39" s="3"/>
      <c r="AW39" s="3"/>
      <c r="AX39" s="3"/>
    </row>
    <row r="40" spans="1:50" ht="34.5" customHeight="1">
      <c r="A40" s="18"/>
      <c r="B40" s="175"/>
      <c r="C40" s="176"/>
      <c r="D40" s="187" t="str">
        <f>level3 &amp; ": Development support (either local or contracted) is available to create business intelligence tools that can be used by operational managers for their own analysis. There may be some work on more advanced analytical techniques "&amp;"(eg. forecasting, simulation, data mining and adaptive systems), and development programs in place to support the development of technical skills within the organisation."</f>
        <v>Good: Development support (either local or contracted) is available to create business intelligence tools that can be used by operational managers for their own analysis. There may be some work on more advanced analytical techniques (eg. forecasting, simulation, data mining and adaptive systems), and development programs in place to support the development of technical skills within the organisation.</v>
      </c>
      <c r="E40" s="188"/>
      <c r="F40" s="188"/>
      <c r="G40" s="188"/>
      <c r="H40" s="188"/>
      <c r="I40" s="188"/>
      <c r="J40" s="189"/>
      <c r="K40" s="19"/>
      <c r="AU40" s="3"/>
      <c r="AV40" s="3"/>
      <c r="AW40" s="3"/>
      <c r="AX40" s="3"/>
    </row>
    <row r="41" spans="1:50" ht="44.45" customHeight="1" thickBot="1">
      <c r="A41" s="18"/>
      <c r="B41" s="185"/>
      <c r="C41" s="186"/>
      <c r="D41" s="190" t="str">
        <f>level4 &amp; ": Analytical teams pro-actively investigate advanced forecasting and simulation techniques and liaise with operational, clinical and senior management to trial, evaluate and implement effective modelling solutions that can be used to "&amp;"support operational decision making. Development of solutions may be carried out locally or outsourced through a well-informed tendering process. Continuity planning is in place to maintain organisational knoweldge and develop local skillsets."</f>
        <v>Excellent: Analytical teams pro-actively investigate advanced forecasting and simulation techniques and liaise with operational, clinical and senior management to trial, evaluate and implement effective modelling solutions that can be used to support operational decision making. Development of solutions may be carried out locally or outsourced through a well-informed tendering process. Continuity planning is in place to maintain organisational knoweldge and develop local skillsets.</v>
      </c>
      <c r="E41" s="191"/>
      <c r="F41" s="191"/>
      <c r="G41" s="191"/>
      <c r="H41" s="191"/>
      <c r="I41" s="191"/>
      <c r="J41" s="192"/>
      <c r="K41" s="19"/>
      <c r="AU41" s="3"/>
      <c r="AV41" s="3"/>
      <c r="AW41" s="3"/>
      <c r="AX41" s="3"/>
    </row>
    <row r="42" spans="1:50" s="2" customFormat="1" collapsed="1">
      <c r="A42" s="20"/>
      <c r="B42" s="124"/>
      <c r="C42" s="124"/>
      <c r="D42" s="45"/>
      <c r="E42" s="45"/>
      <c r="F42" s="125"/>
      <c r="G42" s="125"/>
      <c r="H42" s="45"/>
      <c r="I42" s="45"/>
      <c r="J42" s="126"/>
      <c r="K42" s="24"/>
      <c r="N42" s="7"/>
      <c r="AU42" s="1"/>
      <c r="AV42" s="1"/>
      <c r="AW42" s="1"/>
      <c r="AX42" s="1"/>
    </row>
    <row r="43" spans="1:50">
      <c r="B43" s="28"/>
      <c r="C43" s="28"/>
      <c r="D43" s="5"/>
      <c r="E43" s="5"/>
      <c r="F43" s="119"/>
      <c r="G43" s="119"/>
      <c r="H43" s="5"/>
      <c r="I43" s="5"/>
      <c r="J43" s="120"/>
    </row>
    <row r="44" spans="1:50">
      <c r="B44" s="28"/>
      <c r="C44" s="28"/>
      <c r="D44" s="5"/>
      <c r="E44" s="5"/>
      <c r="F44" s="119"/>
      <c r="G44" s="119"/>
      <c r="H44" s="5"/>
      <c r="I44" s="5"/>
      <c r="J44" s="120"/>
    </row>
    <row r="45" spans="1:50">
      <c r="B45" s="28"/>
      <c r="C45" s="28"/>
      <c r="D45" s="5"/>
      <c r="E45" s="5"/>
      <c r="F45" s="119"/>
      <c r="G45" s="119"/>
      <c r="H45" s="5"/>
      <c r="I45" s="5"/>
      <c r="J45" s="120"/>
    </row>
  </sheetData>
  <sheetProtection algorithmName="SHA-512" hashValue="njU8o5UJCs1abJPiS0bZ6Ay/LsNqFfNPyrpP7fiAXA6RKPz1uUDUayg+Db2Ra8rkPBiiUuUbKyRHuAa25Z1y9w==" saltValue="8qXWSpVSRdmJouSITGcXSg==" spinCount="100000" sheet="1" formatColumns="0" formatRows="0"/>
  <mergeCells count="50">
    <mergeCell ref="B28:C31"/>
    <mergeCell ref="B23:C26"/>
    <mergeCell ref="B18:C21"/>
    <mergeCell ref="D36:J36"/>
    <mergeCell ref="D39:J39"/>
    <mergeCell ref="D18:J18"/>
    <mergeCell ref="D19:J19"/>
    <mergeCell ref="D20:J20"/>
    <mergeCell ref="C37:D37"/>
    <mergeCell ref="D38:J38"/>
    <mergeCell ref="D40:J40"/>
    <mergeCell ref="B38:C41"/>
    <mergeCell ref="B33:C36"/>
    <mergeCell ref="D23:J23"/>
    <mergeCell ref="D24:J24"/>
    <mergeCell ref="D25:J25"/>
    <mergeCell ref="D26:J26"/>
    <mergeCell ref="D28:J28"/>
    <mergeCell ref="C32:D32"/>
    <mergeCell ref="D33:J33"/>
    <mergeCell ref="D34:J34"/>
    <mergeCell ref="D35:J35"/>
    <mergeCell ref="C27:D27"/>
    <mergeCell ref="D29:J29"/>
    <mergeCell ref="D30:J30"/>
    <mergeCell ref="D31:J31"/>
    <mergeCell ref="A2:K2"/>
    <mergeCell ref="A3:K3"/>
    <mergeCell ref="B5:B6"/>
    <mergeCell ref="C5:D6"/>
    <mergeCell ref="E5:E6"/>
    <mergeCell ref="F5:F6"/>
    <mergeCell ref="G5:G6"/>
    <mergeCell ref="H5:J5"/>
    <mergeCell ref="D41:J41"/>
    <mergeCell ref="C22:D22"/>
    <mergeCell ref="D21:J21"/>
    <mergeCell ref="C7:D7"/>
    <mergeCell ref="C12:D12"/>
    <mergeCell ref="D13:J13"/>
    <mergeCell ref="D16:J16"/>
    <mergeCell ref="C17:D17"/>
    <mergeCell ref="B8:C11"/>
    <mergeCell ref="B13:C16"/>
    <mergeCell ref="D14:J14"/>
    <mergeCell ref="D15:J15"/>
    <mergeCell ref="D8:J8"/>
    <mergeCell ref="D9:J9"/>
    <mergeCell ref="D11:J11"/>
    <mergeCell ref="D10:J10"/>
  </mergeCells>
  <dataValidations count="1">
    <dataValidation type="list" allowBlank="1" showInputMessage="1" showErrorMessage="1" sqref="E7 E12 E17 E22 E27 E32 E37 H7:J7 H12:J12 H17:J17 H22:J22 H27:J27 H32:J32 H37:J37" xr:uid="{A12DF331-E7BA-487F-B494-CA1D2B1F71CD}">
      <formula1>scores</formula1>
    </dataValidation>
  </dataValidations>
  <pageMargins left="0.7" right="0.7" top="0.75" bottom="0.75" header="0.3" footer="0.3"/>
  <pageSetup scale="82"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5DFB-53F7-4560-81FA-6ED5402C6526}">
  <sheetPr>
    <outlinePr summaryRight="0"/>
    <pageSetUpPr fitToPage="1"/>
  </sheetPr>
  <dimension ref="A1:AV22"/>
  <sheetViews>
    <sheetView showGridLines="0" showRowColHeaders="0" zoomScale="85" zoomScaleNormal="85" workbookViewId="0">
      <selection activeCell="C20" sqref="C20"/>
    </sheetView>
  </sheetViews>
  <sheetFormatPr defaultColWidth="9" defaultRowHeight="14.25"/>
  <cols>
    <col min="1" max="1" width="1.625" style="1" customWidth="1"/>
    <col min="2" max="2" width="5.875" style="4" customWidth="1"/>
    <col min="3" max="3" width="44.375" style="4" customWidth="1"/>
    <col min="4" max="4" width="10.75" style="1" customWidth="1"/>
    <col min="5" max="5" width="53" style="104" customWidth="1"/>
    <col min="6" max="6" width="45" customWidth="1"/>
    <col min="7" max="7" width="22.125" customWidth="1"/>
    <col min="8" max="8" width="7.875" style="87" customWidth="1"/>
    <col min="9" max="9" width="1.375" style="2" customWidth="1"/>
    <col min="10" max="11" width="9" style="2"/>
    <col min="12" max="12" width="9" style="7"/>
    <col min="13" max="44" width="9" style="2"/>
    <col min="45" max="16384" width="9" style="1"/>
  </cols>
  <sheetData>
    <row r="1" spans="1:48">
      <c r="AS1" s="3"/>
      <c r="AT1" s="3"/>
      <c r="AU1" s="3"/>
      <c r="AV1" s="3"/>
    </row>
    <row r="2" spans="1:48" ht="54" customHeight="1">
      <c r="A2" s="208" t="str">
        <f>"Your Improvement Plan - " &amp; ToolName</f>
        <v>Your Improvement Plan - NHSE England Demand and Capacity Planning Roadmap and Maturity Tool</v>
      </c>
      <c r="B2" s="209"/>
      <c r="C2" s="209"/>
      <c r="D2" s="209"/>
      <c r="E2" s="209"/>
      <c r="F2" s="209"/>
      <c r="G2" s="209"/>
      <c r="H2" s="209"/>
      <c r="I2" s="210"/>
      <c r="AS2" s="3"/>
      <c r="AT2" s="3"/>
      <c r="AU2" s="3"/>
      <c r="AV2" s="3"/>
    </row>
    <row r="3" spans="1:48" ht="23.25" customHeight="1">
      <c r="A3" s="211" t="str">
        <f>System &amp; " CYP MH Transformation and Improvement Plan"</f>
        <v xml:space="preserve"> CYP MH Transformation and Improvement Plan</v>
      </c>
      <c r="B3" s="143"/>
      <c r="C3" s="143"/>
      <c r="D3" s="143"/>
      <c r="E3" s="143"/>
      <c r="F3" s="143"/>
      <c r="G3" s="143"/>
      <c r="H3" s="143"/>
      <c r="I3" s="212"/>
      <c r="AS3" s="3"/>
      <c r="AT3" s="3"/>
      <c r="AU3" s="3"/>
      <c r="AV3" s="3"/>
    </row>
    <row r="4" spans="1:48" ht="12.75" customHeight="1">
      <c r="A4" s="8"/>
      <c r="D4" s="9"/>
      <c r="E4" s="10"/>
      <c r="F4" s="80"/>
      <c r="G4" s="84"/>
      <c r="H4" s="88"/>
      <c r="I4" s="6"/>
      <c r="AS4" s="3"/>
      <c r="AT4" s="3"/>
      <c r="AU4" s="3"/>
      <c r="AV4" s="3"/>
    </row>
    <row r="5" spans="1:48" ht="25.5">
      <c r="A5" s="8"/>
      <c r="B5" s="25" t="s">
        <v>31</v>
      </c>
      <c r="C5" s="26" t="s">
        <v>20</v>
      </c>
      <c r="D5" s="27" t="s">
        <v>32</v>
      </c>
      <c r="E5" s="105" t="s">
        <v>23</v>
      </c>
      <c r="F5" s="82" t="s">
        <v>33</v>
      </c>
      <c r="G5" s="85" t="s">
        <v>34</v>
      </c>
      <c r="H5" s="89" t="s">
        <v>35</v>
      </c>
      <c r="I5" s="6"/>
      <c r="AS5" s="3"/>
      <c r="AT5" s="3"/>
      <c r="AU5" s="3"/>
      <c r="AV5" s="3"/>
    </row>
    <row r="6" spans="1:48" ht="42.75">
      <c r="B6" s="28">
        <f>Lookups!E8</f>
        <v>1.1000000000000001</v>
      </c>
      <c r="C6" s="118" t="str">
        <f>VLOOKUP(B6,Lookups!$E$8:$F$62,2,FALSE)</f>
        <v xml:space="preserve">Demand and capacity modelling is sustainably embedded in routine planning and management activity at all levels. </v>
      </c>
      <c r="D6" s="118" t="str">
        <f ca="1">IF(ISNA(Lookups!L8),"",Lookups!N8)</f>
        <v>Excellent</v>
      </c>
      <c r="E6" s="118" t="str">
        <f ca="1">IF(Lookups!P8=0,"",Lookups!P8)</f>
        <v xml:space="preserve">test improvement idea </v>
      </c>
      <c r="F6" s="83"/>
      <c r="G6" s="86"/>
      <c r="H6" s="90"/>
      <c r="I6" s="6"/>
      <c r="AS6" s="3"/>
      <c r="AT6" s="3"/>
      <c r="AU6" s="3"/>
      <c r="AV6" s="3"/>
    </row>
    <row r="7" spans="1:48" ht="30.6" customHeight="1">
      <c r="B7" s="28">
        <f>Lookups!E9</f>
        <v>1.2</v>
      </c>
      <c r="C7" s="118" t="str">
        <f>VLOOKUP(B7,Lookups!$E$8:$F$62,2,FALSE)</f>
        <v>Accountabilities for modelling activity and outputs are clear across all levels</v>
      </c>
      <c r="D7" s="118" t="str">
        <f ca="1">IF(ISNA(Lookups!L9),"",Lookups!N9)</f>
        <v>Excellent</v>
      </c>
      <c r="E7" s="118" t="str">
        <f ca="1">IF(Lookups!P9=0,"",Lookups!P9)</f>
        <v>these pull through to the action plan</v>
      </c>
      <c r="F7" s="83"/>
      <c r="G7" s="86"/>
      <c r="H7" s="90"/>
      <c r="I7" s="6"/>
      <c r="AS7" s="3"/>
      <c r="AT7" s="3"/>
      <c r="AU7" s="3"/>
      <c r="AV7" s="3"/>
    </row>
    <row r="8" spans="1:48" ht="44.45" customHeight="1">
      <c r="B8" s="28">
        <f>Lookups!E10</f>
        <v>1.3</v>
      </c>
      <c r="C8" s="118" t="str">
        <f>VLOOKUP(B8,Lookups!$E$8:$F$62,2,FALSE)</f>
        <v xml:space="preserve">Governance systems assure the delivery of a consistent and coherent use of modelling across the system. </v>
      </c>
      <c r="D8" s="118" t="str">
        <f ca="1">IF(ISNA(Lookups!L10),"",Lookups!N10)</f>
        <v>Excellent</v>
      </c>
      <c r="E8" s="118" t="str">
        <f ca="1">IF(Lookups!P10=0,"",Lookups!P10)</f>
        <v/>
      </c>
      <c r="F8" s="83"/>
      <c r="G8" s="86"/>
      <c r="H8" s="90"/>
      <c r="I8" s="6"/>
      <c r="AS8" s="3"/>
      <c r="AT8" s="3"/>
      <c r="AU8" s="3"/>
      <c r="AV8" s="3"/>
    </row>
    <row r="9" spans="1:48" ht="44.45" customHeight="1">
      <c r="B9" s="28">
        <f>Lookups!E11</f>
        <v>1.4</v>
      </c>
      <c r="C9" s="118" t="str">
        <f>VLOOKUP(B9,Lookups!$E$8:$F$62,2,FALSE)</f>
        <v>Modelling is deployed at scale across the system</v>
      </c>
      <c r="D9" s="118" t="str">
        <f ca="1">IF(ISNA(Lookups!L11),"",Lookups!N11)</f>
        <v>Good</v>
      </c>
      <c r="E9" s="118" t="str">
        <f ca="1">IF(Lookups!P11=0,"",Lookups!P11)</f>
        <v/>
      </c>
      <c r="F9" s="83"/>
      <c r="G9" s="86"/>
      <c r="H9" s="90"/>
      <c r="I9" s="6"/>
      <c r="AS9" s="3"/>
      <c r="AT9" s="3"/>
      <c r="AU9" s="3"/>
      <c r="AV9" s="3"/>
    </row>
    <row r="10" spans="1:48" ht="43.5" customHeight="1">
      <c r="B10" s="28">
        <f>Lookups!E12</f>
        <v>1.5</v>
      </c>
      <c r="C10" s="118" t="str">
        <f>VLOOKUP(B10,Lookups!$E$8:$F$62,2,FALSE)</f>
        <v xml:space="preserve">Modelling outputs are subject to robust operation oversight, analysis and validation.  </v>
      </c>
      <c r="D10" s="118" t="str">
        <f ca="1">IF(ISNA(Lookups!L12),"",Lookups!N12)</f>
        <v>Nothing</v>
      </c>
      <c r="E10" s="118" t="str">
        <f ca="1">IF(Lookups!P12=0,"",Lookups!P12)</f>
        <v/>
      </c>
      <c r="F10" s="83"/>
      <c r="G10" s="86"/>
      <c r="H10" s="90"/>
      <c r="I10" s="6"/>
      <c r="AS10" s="3"/>
      <c r="AT10" s="3"/>
      <c r="AU10" s="3"/>
      <c r="AV10" s="3"/>
    </row>
    <row r="11" spans="1:48" ht="44.1" customHeight="1">
      <c r="B11" s="28">
        <f>Lookups!E13</f>
        <v>1.6</v>
      </c>
      <c r="C11" s="118" t="str">
        <f>VLOOKUP(B11,Lookups!$E$8:$F$62,2,FALSE)</f>
        <v>Modelling is used to drive business planning at scale across the system</v>
      </c>
      <c r="D11" s="118" t="str">
        <f ca="1">IF(ISNA(Lookups!L13),"",Lookups!N13)</f>
        <v>Good</v>
      </c>
      <c r="E11" s="118" t="str">
        <f ca="1">IF(Lookups!P13=0,"",Lookups!P13)</f>
        <v/>
      </c>
      <c r="F11" s="83"/>
      <c r="G11" s="86"/>
      <c r="H11" s="90"/>
      <c r="I11" s="6"/>
      <c r="AS11" s="3"/>
      <c r="AT11" s="3"/>
      <c r="AU11" s="3"/>
      <c r="AV11" s="3"/>
    </row>
    <row r="12" spans="1:48" ht="59.45" customHeight="1">
      <c r="B12" s="28">
        <f>Lookups!E14</f>
        <v>2.1</v>
      </c>
      <c r="C12" s="118" t="str">
        <f>VLOOKUP(B12,Lookups!$E$8:$F$62,2,FALSE)</f>
        <v xml:space="preserve">Pathway mapping is fully embedded in system planning, and driving quality improvements </v>
      </c>
      <c r="D12" s="118" t="str">
        <f ca="1">IF(ISNA(Lookups!L14),"",Lookups!N14)</f>
        <v>Excellent</v>
      </c>
      <c r="E12" s="118" t="str">
        <f ca="1">IF(Lookups!P14=0,"",Lookups!P14)</f>
        <v/>
      </c>
      <c r="F12" s="83"/>
      <c r="G12" s="83"/>
      <c r="H12" s="91"/>
      <c r="I12" s="6"/>
      <c r="AS12" s="3"/>
      <c r="AT12" s="3"/>
      <c r="AU12" s="3"/>
      <c r="AV12" s="3"/>
    </row>
    <row r="13" spans="1:48" ht="72.599999999999994" customHeight="1">
      <c r="B13" s="28">
        <f>Lookups!E15</f>
        <v>2.2000000000000002</v>
      </c>
      <c r="C13" s="118" t="str">
        <f>VLOOKUP(B13,Lookups!$E$8:$F$62,2,FALSE)</f>
        <v>Demand data quality is routinely validated, and assured to be of the highest possible quality</v>
      </c>
      <c r="D13" s="118" t="str">
        <f ca="1">IF(ISNA(Lookups!L15),"",Lookups!N15)</f>
        <v>Excellent</v>
      </c>
      <c r="E13" s="118" t="str">
        <f ca="1">IF(Lookups!P15=0,"",Lookups!P15)</f>
        <v/>
      </c>
      <c r="F13" s="83"/>
      <c r="G13" s="86"/>
      <c r="H13" s="90"/>
      <c r="I13" s="6"/>
      <c r="AS13" s="3"/>
      <c r="AT13" s="3"/>
      <c r="AU13" s="3"/>
      <c r="AV13" s="3"/>
    </row>
    <row r="14" spans="1:48" ht="29.45" customHeight="1">
      <c r="B14" s="28">
        <f>Lookups!E16</f>
        <v>2.2999999999999998</v>
      </c>
      <c r="C14" s="118" t="str">
        <f>VLOOKUP(B14,Lookups!$E$8:$F$62,2,FALSE)</f>
        <v>Capacity data quality is routinely validated, and assured to be of the highest possible quality</v>
      </c>
      <c r="D14" s="118" t="str">
        <f ca="1">IF(ISNA(Lookups!L16),"",Lookups!N16)</f>
        <v>Excellent</v>
      </c>
      <c r="E14" s="118" t="str">
        <f ca="1">IF(Lookups!P16=0,"",Lookups!P16)</f>
        <v/>
      </c>
      <c r="F14" s="83"/>
      <c r="G14" s="86"/>
      <c r="H14" s="90"/>
      <c r="I14" s="6"/>
      <c r="AS14" s="3"/>
      <c r="AT14" s="3"/>
      <c r="AU14" s="3"/>
      <c r="AV14" s="3"/>
    </row>
    <row r="15" spans="1:48" ht="58.5" customHeight="1">
      <c r="B15" s="28">
        <f>Lookups!E17</f>
        <v>3.1</v>
      </c>
      <c r="C15" s="118" t="str">
        <f>VLOOKUP(B15,Lookups!$E$8:$F$62,2,FALSE)</f>
        <v xml:space="preserve">Demand data is routinely available, and enables forecasting of possible future states </v>
      </c>
      <c r="D15" s="118" t="str">
        <f ca="1">IF(ISNA(Lookups!L17),"",Lookups!N17)</f>
        <v>Excellent</v>
      </c>
      <c r="E15" s="118" t="str">
        <f ca="1">IF(Lookups!P17=0,"",Lookups!P17)</f>
        <v/>
      </c>
      <c r="F15" s="83"/>
      <c r="G15" s="86"/>
      <c r="H15" s="90"/>
      <c r="I15" s="6"/>
      <c r="AS15" s="3"/>
      <c r="AT15" s="3"/>
      <c r="AU15" s="3"/>
      <c r="AV15" s="3"/>
    </row>
    <row r="16" spans="1:48" ht="72" customHeight="1">
      <c r="B16" s="28">
        <f>Lookups!E18</f>
        <v>3.2</v>
      </c>
      <c r="C16" s="118" t="str">
        <f>VLOOKUP(B16,Lookups!$E$8:$F$62,2,FALSE)</f>
        <v xml:space="preserve">Planned and actual capacity data is routinely reported from electronic patient records to enable operational management and workforce planning. </v>
      </c>
      <c r="D16" s="118" t="str">
        <f ca="1">IF(ISNA(Lookups!L18),"",Lookups!N18)</f>
        <v>Fair</v>
      </c>
      <c r="E16" s="118" t="str">
        <f ca="1">IF(Lookups!P18=0,"",Lookups!P18)</f>
        <v/>
      </c>
      <c r="F16" s="83"/>
      <c r="G16" s="86"/>
      <c r="H16" s="90"/>
      <c r="I16" s="6"/>
      <c r="AS16" s="3"/>
      <c r="AT16" s="3"/>
      <c r="AU16" s="3"/>
      <c r="AV16" s="3"/>
    </row>
    <row r="17" spans="1:48" ht="44.25" customHeight="1">
      <c r="B17" s="28">
        <f>Lookups!E19</f>
        <v>3.3</v>
      </c>
      <c r="C17" s="118" t="str">
        <f>VLOOKUP(B17,Lookups!$E$8:$F$62,2,FALSE)</f>
        <v xml:space="preserve">Digital systems are sufficiently mature to provide the full range of data required for demand and capacity planning in real time. </v>
      </c>
      <c r="D17" s="118" t="str">
        <f ca="1">IF(ISNA(Lookups!L19),"",Lookups!N19)</f>
        <v>Good</v>
      </c>
      <c r="E17" s="118" t="str">
        <f ca="1">IF(Lookups!P19=0,"",Lookups!P19)</f>
        <v/>
      </c>
      <c r="F17" s="83"/>
      <c r="G17" s="86"/>
      <c r="H17" s="90"/>
      <c r="I17" s="6"/>
      <c r="AS17" s="3"/>
      <c r="AT17" s="3"/>
      <c r="AU17" s="3"/>
      <c r="AV17" s="3"/>
    </row>
    <row r="18" spans="1:48" ht="60" customHeight="1">
      <c r="B18" s="28">
        <f>Lookups!E20</f>
        <v>3.4</v>
      </c>
      <c r="C18" s="118" t="str">
        <f>VLOOKUP(B18,Lookups!$E$8:$F$62,2,FALSE)</f>
        <v xml:space="preserve">Data quality is routinely assured through automated flagging of items requiring manual validation  </v>
      </c>
      <c r="D18" s="118" t="str">
        <f ca="1">IF(ISNA(Lookups!L20),"",Lookups!N20)</f>
        <v>Fair</v>
      </c>
      <c r="E18" s="118" t="str">
        <f ca="1">IF(Lookups!P20=0,"",Lookups!P20)</f>
        <v/>
      </c>
      <c r="F18" s="83"/>
      <c r="G18" s="86"/>
      <c r="H18" s="90"/>
      <c r="I18" s="6"/>
      <c r="AS18" s="3"/>
      <c r="AT18" s="3"/>
      <c r="AU18" s="3"/>
      <c r="AV18" s="3"/>
    </row>
    <row r="19" spans="1:48" ht="58.5" customHeight="1">
      <c r="B19" s="28">
        <f>Lookups!E21</f>
        <v>3.5</v>
      </c>
      <c r="C19" s="118" t="str">
        <f>VLOOKUP(B19,Lookups!$E$8:$F$62,2,FALSE)</f>
        <v>All data required by operational managers are available through digital dashboards, and supported by highlight reporting nd notifications</v>
      </c>
      <c r="D19" s="118" t="str">
        <f ca="1">IF(ISNA(Lookups!L21),"",Lookups!N21)</f>
        <v>Good</v>
      </c>
      <c r="E19" s="118" t="str">
        <f ca="1">IF(Lookups!P21=0,"",Lookups!P21)</f>
        <v/>
      </c>
      <c r="F19" s="83"/>
      <c r="G19" s="86"/>
      <c r="H19" s="90"/>
      <c r="I19" s="6"/>
      <c r="AS19" s="3"/>
      <c r="AT19" s="3"/>
      <c r="AU19" s="3"/>
      <c r="AV19" s="3"/>
    </row>
    <row r="20" spans="1:48" ht="58.5" customHeight="1">
      <c r="B20" s="28">
        <f>Lookups!E22</f>
        <v>3.6</v>
      </c>
      <c r="C20" s="118" t="str">
        <f>VLOOKUP(B20,Lookups!$E$8:$F$62,2,FALSE)</f>
        <v xml:space="preserve">Interpretation of all routine reporting is supported by automated exception and anomoly reporting. </v>
      </c>
      <c r="D20" s="118" t="str">
        <f ca="1">IF(ISNA(Lookups!L22),"",Lookups!N22)</f>
        <v>Good</v>
      </c>
      <c r="E20" s="118" t="str">
        <f ca="1">IF(Lookups!P22=0,"",Lookups!P22)</f>
        <v/>
      </c>
      <c r="F20" s="83"/>
      <c r="G20" s="86"/>
      <c r="H20" s="90"/>
      <c r="I20" s="6"/>
      <c r="AS20" s="3"/>
      <c r="AT20" s="3"/>
      <c r="AU20" s="3"/>
      <c r="AV20" s="3"/>
    </row>
    <row r="21" spans="1:48" ht="30" customHeight="1">
      <c r="B21" s="28">
        <f>Lookups!E23</f>
        <v>3.7</v>
      </c>
      <c r="C21" s="118" t="str">
        <f>VLOOKUP(B21,Lookups!$E$8:$F$62,2,FALSE)</f>
        <v>There is sufficient capacity and capability within business intelligence functions to sustainably deliver the business as usual and transfromational objectives of the system</v>
      </c>
      <c r="D21" s="118" t="str">
        <f ca="1">IF(ISNA(Lookups!L22),"",Lookups!N22)</f>
        <v>Good</v>
      </c>
      <c r="E21" s="118" t="str">
        <f ca="1">IF(Lookups!P22=0,"",Lookups!P22)</f>
        <v/>
      </c>
      <c r="F21" s="83"/>
      <c r="G21" s="86"/>
      <c r="H21" s="90"/>
      <c r="I21" s="6"/>
      <c r="AS21" s="3"/>
      <c r="AT21" s="3"/>
      <c r="AU21" s="3"/>
      <c r="AV21" s="3"/>
    </row>
    <row r="22" spans="1:48">
      <c r="A22" s="22"/>
      <c r="B22" s="21"/>
      <c r="C22" s="21"/>
      <c r="D22" s="22"/>
      <c r="E22" s="107"/>
      <c r="F22" s="81"/>
      <c r="G22" s="81"/>
      <c r="H22" s="108"/>
      <c r="I22" s="24"/>
    </row>
  </sheetData>
  <sheetProtection formatColumns="0" formatRows="0" autoFilter="0"/>
  <mergeCells count="2">
    <mergeCell ref="A2:I2"/>
    <mergeCell ref="A3:I3"/>
  </mergeCells>
  <conditionalFormatting sqref="F6:H21">
    <cfRule type="expression" dxfId="5" priority="9">
      <formula>AND($D6="Fair",F6="")</formula>
    </cfRule>
    <cfRule type="expression" dxfId="4" priority="14">
      <formula>AND($D6="Nothing",F6="")</formula>
    </cfRule>
  </conditionalFormatting>
  <conditionalFormatting sqref="D6:E21">
    <cfRule type="expression" dxfId="3" priority="17" stopIfTrue="1">
      <formula>AND($D6="Fair",$F6&lt;&gt;"",$G6&lt;&gt;"",$H6&lt;&gt;"")</formula>
    </cfRule>
    <cfRule type="expression" dxfId="2" priority="18" stopIfTrue="1">
      <formula>AND($D6="Nothing",$F6&lt;&gt;"",$G6&lt;&gt;"",$H6&lt;&gt;"")</formula>
    </cfRule>
    <cfRule type="cellIs" dxfId="1" priority="19" operator="equal">
      <formula>"Fair"</formula>
    </cfRule>
    <cfRule type="cellIs" dxfId="0" priority="20" operator="equal">
      <formula>"Nothing"</formula>
    </cfRule>
  </conditionalFormatting>
  <pageMargins left="0.7" right="0.7" top="0.75" bottom="0.75" header="0.3" footer="0.3"/>
  <pageSetup scale="82" fitToHeight="0"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6AF90-FB4B-445E-BB4E-87161DDAF47C}">
  <sheetPr>
    <pageSetUpPr fitToPage="1"/>
  </sheetPr>
  <dimension ref="A1:AU26"/>
  <sheetViews>
    <sheetView showGridLines="0" showRowColHeaders="0" zoomScale="120" zoomScaleNormal="120" workbookViewId="0">
      <selection activeCell="D28" sqref="D28"/>
    </sheetView>
  </sheetViews>
  <sheetFormatPr defaultColWidth="9" defaultRowHeight="14.25"/>
  <cols>
    <col min="1" max="1" width="1.625" style="1" customWidth="1"/>
    <col min="2" max="2" width="30.5" style="4" customWidth="1"/>
    <col min="3" max="3" width="13" style="4" customWidth="1"/>
    <col min="4" max="4" width="13" style="1" customWidth="1"/>
    <col min="5" max="5" width="3.125" style="1" customWidth="1"/>
    <col min="6" max="6" width="57.875" style="1" customWidth="1"/>
    <col min="7" max="7" width="15.375" style="2" customWidth="1"/>
    <col min="8" max="8" width="1.375" style="2" customWidth="1"/>
    <col min="9" max="10" width="9" style="2"/>
    <col min="11" max="11" width="9" style="7"/>
    <col min="12" max="43" width="9" style="2"/>
    <col min="44" max="16384" width="9" style="1"/>
  </cols>
  <sheetData>
    <row r="1" spans="1:47">
      <c r="AR1" s="3"/>
      <c r="AS1" s="3"/>
      <c r="AT1" s="3"/>
      <c r="AU1" s="3"/>
    </row>
    <row r="2" spans="1:47" ht="54" customHeight="1">
      <c r="A2" s="193" t="str">
        <f>"Your System Scores - " &amp; ToolName</f>
        <v>Your System Scores - NHSE England Demand and Capacity Planning Roadmap and Maturity Tool</v>
      </c>
      <c r="B2" s="194"/>
      <c r="C2" s="194"/>
      <c r="D2" s="194"/>
      <c r="E2" s="194"/>
      <c r="F2" s="194"/>
      <c r="G2" s="194"/>
      <c r="H2" s="195"/>
      <c r="AR2" s="3"/>
      <c r="AS2" s="3"/>
      <c r="AT2" s="3"/>
      <c r="AU2" s="3"/>
    </row>
    <row r="3" spans="1:47" ht="23.25" customHeight="1">
      <c r="A3" s="142" t="str">
        <f>"The " &amp; System &amp; " System At A Glance"</f>
        <v>The  System At A Glance</v>
      </c>
      <c r="B3" s="143"/>
      <c r="C3" s="143"/>
      <c r="D3" s="143"/>
      <c r="E3" s="143"/>
      <c r="F3" s="143"/>
      <c r="G3" s="143"/>
      <c r="H3" s="144"/>
      <c r="AR3" s="3"/>
      <c r="AS3" s="3"/>
      <c r="AT3" s="3"/>
      <c r="AU3" s="3"/>
    </row>
    <row r="4" spans="1:47" ht="12.75" customHeight="1">
      <c r="A4" s="18"/>
      <c r="D4" s="9"/>
      <c r="E4" s="10"/>
      <c r="F4" s="4"/>
      <c r="G4" s="4"/>
      <c r="H4" s="19"/>
      <c r="AR4" s="3"/>
      <c r="AS4" s="3"/>
      <c r="AT4" s="3"/>
      <c r="AU4" s="3"/>
    </row>
    <row r="5" spans="1:47" s="56" customFormat="1" ht="12.75" customHeight="1">
      <c r="A5" s="58"/>
      <c r="B5" s="213" t="str">
        <f>"Below are the overall scores from completing the " &amp; ToolName &amp; ". The first baseline score is shown alongside the latest review in the table on the left and in the accompanying spidergram.  All scores are expressed as a proportion of the theoretical maximum for each domain (4 for every score)."</f>
        <v>Below are the overall scores from completing the NHSE England Demand and Capacity Planning Roadmap and Maturity Tool. The first baseline score is shown alongside the latest review in the table on the left and in the accompanying spidergram.  All scores are expressed as a proportion of the theoretical maximum for each domain (4 for every score).</v>
      </c>
      <c r="C5" s="213"/>
      <c r="D5" s="213"/>
      <c r="E5" s="213"/>
      <c r="F5" s="213"/>
      <c r="G5" s="213"/>
      <c r="H5" s="59"/>
      <c r="I5" s="53"/>
      <c r="J5" s="53"/>
      <c r="K5" s="54"/>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5"/>
      <c r="AS5" s="55"/>
      <c r="AT5" s="55"/>
      <c r="AU5" s="55"/>
    </row>
    <row r="6" spans="1:47" s="56" customFormat="1" ht="12.75" customHeight="1">
      <c r="A6" s="58"/>
      <c r="B6" s="213"/>
      <c r="C6" s="213"/>
      <c r="D6" s="213"/>
      <c r="E6" s="213"/>
      <c r="F6" s="213"/>
      <c r="G6" s="213"/>
      <c r="H6" s="59"/>
      <c r="I6" s="53"/>
      <c r="J6" s="53"/>
      <c r="K6" s="54"/>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5"/>
      <c r="AS6" s="55"/>
      <c r="AT6" s="55"/>
      <c r="AU6" s="55"/>
    </row>
    <row r="7" spans="1:47" ht="29.1" customHeight="1" thickBot="1">
      <c r="A7" s="18"/>
      <c r="B7" s="213"/>
      <c r="C7" s="213"/>
      <c r="D7" s="213"/>
      <c r="E7" s="213"/>
      <c r="F7" s="213"/>
      <c r="G7" s="213"/>
      <c r="H7" s="19"/>
      <c r="AR7" s="3"/>
      <c r="AS7" s="3"/>
      <c r="AT7" s="3"/>
      <c r="AU7" s="3"/>
    </row>
    <row r="8" spans="1:47" ht="20.45" customHeight="1">
      <c r="A8" s="18"/>
      <c r="B8" s="52" t="s">
        <v>36</v>
      </c>
      <c r="C8" s="49">
        <f>IF(BaselineDate=0,"Baseline",BaselineDate)</f>
        <v>44749</v>
      </c>
      <c r="D8" s="51">
        <f>IF(LatestReviewDate=0,"Review",LatestReviewDate)</f>
        <v>45272</v>
      </c>
      <c r="E8" s="10"/>
      <c r="F8" s="4"/>
      <c r="G8" s="4"/>
      <c r="H8" s="19"/>
      <c r="AR8" s="3"/>
      <c r="AS8" s="3"/>
      <c r="AT8" s="3"/>
      <c r="AU8" s="3"/>
    </row>
    <row r="9" spans="1:47">
      <c r="A9" s="18"/>
      <c r="B9" s="230" t="str">
        <f>Lookups!E8 &amp; " - " &amp; Lookups!G8</f>
        <v>1.1 - Routine planning</v>
      </c>
      <c r="C9" s="48" t="str">
        <f ca="1">Lookups!M8</f>
        <v>Excellent</v>
      </c>
      <c r="D9" s="48" t="str">
        <f ca="1">Lookups!N8</f>
        <v>Excellent</v>
      </c>
      <c r="E9" s="10"/>
      <c r="F9" s="4"/>
      <c r="G9" s="4"/>
      <c r="H9" s="19"/>
      <c r="AR9" s="3"/>
      <c r="AS9" s="3"/>
      <c r="AT9" s="3"/>
      <c r="AU9" s="3"/>
    </row>
    <row r="10" spans="1:47">
      <c r="A10" s="18"/>
      <c r="B10" s="230" t="str">
        <f>Lookups!E9 &amp; " - " &amp; Lookups!G9</f>
        <v xml:space="preserve">1.2 - Clear accountabilities </v>
      </c>
      <c r="C10" s="48" t="str">
        <f ca="1">Lookups!M9</f>
        <v>Fair</v>
      </c>
      <c r="D10" s="48" t="str">
        <f ca="1">Lookups!N9</f>
        <v>Excellent</v>
      </c>
      <c r="E10" s="10"/>
      <c r="F10" s="4"/>
      <c r="G10" s="4"/>
      <c r="H10" s="19"/>
      <c r="AR10" s="3"/>
      <c r="AS10" s="3"/>
      <c r="AT10" s="3"/>
      <c r="AU10" s="3"/>
    </row>
    <row r="11" spans="1:47">
      <c r="A11" s="18"/>
      <c r="B11" s="230" t="str">
        <f>Lookups!E10 &amp; " - " &amp; Lookups!G10</f>
        <v>1.3 - Governance oversight</v>
      </c>
      <c r="C11" s="48" t="str">
        <f ca="1">Lookups!M10</f>
        <v>Nothing</v>
      </c>
      <c r="D11" s="48" t="str">
        <f ca="1">Lookups!N10</f>
        <v>Excellent</v>
      </c>
      <c r="E11" s="10"/>
      <c r="F11" s="4"/>
      <c r="G11" s="4"/>
      <c r="H11" s="19"/>
      <c r="AR11" s="3"/>
      <c r="AS11" s="3"/>
      <c r="AT11" s="3"/>
      <c r="AU11" s="3"/>
    </row>
    <row r="12" spans="1:47">
      <c r="A12" s="18"/>
      <c r="B12" s="230" t="str">
        <f>Lookups!E11 &amp; " - " &amp; Lookups!G11</f>
        <v xml:space="preserve">1.4 - Deployed at scale </v>
      </c>
      <c r="C12" s="48" t="str">
        <f ca="1">Lookups!M11</f>
        <v>Nothing</v>
      </c>
      <c r="D12" s="48" t="str">
        <f ca="1">Lookups!N11</f>
        <v>Good</v>
      </c>
      <c r="E12" s="10"/>
      <c r="F12" s="4"/>
      <c r="G12" s="4"/>
      <c r="H12" s="19"/>
      <c r="AR12" s="3"/>
      <c r="AS12" s="3"/>
      <c r="AT12" s="3"/>
      <c r="AU12" s="3"/>
    </row>
    <row r="13" spans="1:47">
      <c r="A13" s="18"/>
      <c r="B13" s="230" t="str">
        <f>Lookups!E12 &amp; " - " &amp; Lookups!G12</f>
        <v>1.5 - Operational oversight</v>
      </c>
      <c r="C13" s="48" t="str">
        <f ca="1">Lookups!M12</f>
        <v>Fair</v>
      </c>
      <c r="D13" s="48" t="str">
        <f ca="1">Lookups!N12</f>
        <v>Nothing</v>
      </c>
      <c r="E13" s="10"/>
      <c r="F13" s="4"/>
      <c r="G13" s="4"/>
      <c r="H13" s="19"/>
      <c r="AR13" s="3"/>
      <c r="AS13" s="3"/>
      <c r="AT13" s="3"/>
      <c r="AU13" s="3"/>
    </row>
    <row r="14" spans="1:47">
      <c r="A14" s="18"/>
      <c r="B14" s="230" t="str">
        <f>Lookups!E13 &amp; " - " &amp; Lookups!G13</f>
        <v>1.6 - Business planning</v>
      </c>
      <c r="C14" s="48" t="str">
        <f ca="1">Lookups!M13</f>
        <v>Nothing</v>
      </c>
      <c r="D14" s="48" t="str">
        <f ca="1">Lookups!N13</f>
        <v>Good</v>
      </c>
      <c r="E14" s="10"/>
      <c r="F14" s="4"/>
      <c r="G14" s="4"/>
      <c r="H14" s="19"/>
      <c r="AR14" s="3"/>
      <c r="AS14" s="3"/>
      <c r="AT14" s="3"/>
      <c r="AU14" s="3"/>
    </row>
    <row r="15" spans="1:47">
      <c r="A15" s="18"/>
      <c r="B15" s="231" t="str">
        <f>Lookups!E14 &amp; " - " &amp; Lookups!G14</f>
        <v>2.1 - Pathway mapping</v>
      </c>
      <c r="C15" s="48" t="str">
        <f ca="1">Lookups!M14</f>
        <v>Excellent</v>
      </c>
      <c r="D15" s="48" t="str">
        <f ca="1">Lookups!N14</f>
        <v>Excellent</v>
      </c>
      <c r="E15" s="10"/>
      <c r="F15" s="4"/>
      <c r="G15" s="4"/>
      <c r="H15" s="19"/>
      <c r="AR15" s="3"/>
      <c r="AS15" s="3"/>
      <c r="AT15" s="3"/>
      <c r="AU15" s="3"/>
    </row>
    <row r="16" spans="1:47">
      <c r="A16" s="18"/>
      <c r="B16" s="231" t="str">
        <f>Lookups!E15 &amp; " - " &amp; Lookups!G15</f>
        <v>2.2 - Demand validation</v>
      </c>
      <c r="C16" s="48" t="str">
        <f ca="1">Lookups!M15</f>
        <v>Fair</v>
      </c>
      <c r="D16" s="48" t="str">
        <f ca="1">Lookups!N15</f>
        <v>Excellent</v>
      </c>
      <c r="E16" s="10"/>
      <c r="F16" s="4"/>
      <c r="G16" s="4"/>
      <c r="H16" s="19"/>
      <c r="AR16" s="3"/>
      <c r="AS16" s="3"/>
      <c r="AT16" s="3"/>
      <c r="AU16" s="3"/>
    </row>
    <row r="17" spans="1:47">
      <c r="A17" s="18"/>
      <c r="B17" s="231" t="str">
        <f>Lookups!E16 &amp; " - " &amp; Lookups!G16</f>
        <v>2.3 - Capacity validation</v>
      </c>
      <c r="C17" s="48" t="str">
        <f ca="1">Lookups!M16</f>
        <v>Excellent</v>
      </c>
      <c r="D17" s="48" t="str">
        <f ca="1">Lookups!N16</f>
        <v>Excellent</v>
      </c>
      <c r="E17" s="10"/>
      <c r="F17" s="4"/>
      <c r="G17" s="4"/>
      <c r="H17" s="19"/>
      <c r="AR17" s="3"/>
      <c r="AS17" s="3"/>
      <c r="AT17" s="3"/>
      <c r="AU17" s="3"/>
    </row>
    <row r="18" spans="1:47">
      <c r="A18" s="18"/>
      <c r="B18" s="232" t="str">
        <f>Lookups!E17 &amp; " - " &amp; Lookups!G17</f>
        <v>3.1 - Demand forecasting</v>
      </c>
      <c r="C18" s="48" t="str">
        <f ca="1">Lookups!M17</f>
        <v>Excellent</v>
      </c>
      <c r="D18" s="48" t="str">
        <f ca="1">Lookups!N17</f>
        <v>Excellent</v>
      </c>
      <c r="E18" s="10"/>
      <c r="F18" s="4"/>
      <c r="G18" s="4"/>
      <c r="H18" s="19"/>
      <c r="AR18" s="3"/>
      <c r="AS18" s="3"/>
      <c r="AT18" s="3"/>
      <c r="AU18" s="3"/>
    </row>
    <row r="19" spans="1:47">
      <c r="A19" s="18"/>
      <c r="B19" s="232" t="str">
        <f>Lookups!E18 &amp; " - " &amp; Lookups!G18</f>
        <v>3.2 - EPR data availability</v>
      </c>
      <c r="C19" s="48" t="str">
        <f ca="1">Lookups!M18</f>
        <v>Good</v>
      </c>
      <c r="D19" s="48" t="str">
        <f ca="1">Lookups!N18</f>
        <v>Fair</v>
      </c>
      <c r="E19" s="10"/>
      <c r="F19" s="4"/>
      <c r="G19" s="4"/>
      <c r="H19" s="19"/>
      <c r="AR19" s="3"/>
      <c r="AS19" s="3"/>
      <c r="AT19" s="3"/>
      <c r="AU19" s="3"/>
    </row>
    <row r="20" spans="1:47">
      <c r="A20" s="18"/>
      <c r="B20" s="232" t="str">
        <f>Lookups!E19 &amp; " - " &amp; Lookups!G19</f>
        <v>3.3 - Digital maturity</v>
      </c>
      <c r="C20" s="48" t="str">
        <f ca="1">Lookups!M19</f>
        <v>Nothing</v>
      </c>
      <c r="D20" s="48" t="str">
        <f ca="1">Lookups!N19</f>
        <v>Good</v>
      </c>
      <c r="E20" s="128"/>
      <c r="F20" s="4"/>
      <c r="G20" s="4"/>
      <c r="H20" s="19"/>
      <c r="AR20" s="3"/>
      <c r="AS20" s="3"/>
      <c r="AT20" s="3"/>
      <c r="AU20" s="3"/>
    </row>
    <row r="21" spans="1:47" ht="13.5" customHeight="1">
      <c r="A21" s="18"/>
      <c r="B21" s="232" t="str">
        <f>Lookups!E20 &amp; " - " &amp; Lookups!G20</f>
        <v>3.4 - Flagging DQ issues</v>
      </c>
      <c r="C21" s="48" t="str">
        <f ca="1">Lookups!M20</f>
        <v>Nothing</v>
      </c>
      <c r="D21" s="48" t="str">
        <f ca="1">Lookups!N20</f>
        <v>Fair</v>
      </c>
      <c r="E21" s="128"/>
      <c r="F21" s="4"/>
      <c r="G21" s="4"/>
      <c r="H21" s="19"/>
      <c r="AR21" s="3"/>
      <c r="AS21" s="3"/>
      <c r="AT21" s="3"/>
      <c r="AU21" s="3"/>
    </row>
    <row r="22" spans="1:47" ht="13.15" customHeight="1">
      <c r="A22" s="18"/>
      <c r="B22" s="232" t="str">
        <f>Lookups!E21 &amp; " - " &amp; Lookups!G21</f>
        <v>3.5 - Digital dashboards</v>
      </c>
      <c r="C22" s="48" t="str">
        <f ca="1">Lookups!M21</f>
        <v>Nothing</v>
      </c>
      <c r="D22" s="48" t="str">
        <f ca="1">Lookups!N21</f>
        <v>Good</v>
      </c>
      <c r="E22" s="128"/>
      <c r="F22" s="4"/>
      <c r="G22" s="4"/>
      <c r="H22" s="19"/>
      <c r="AR22" s="3"/>
      <c r="AS22" s="3"/>
      <c r="AT22" s="3"/>
      <c r="AU22" s="3"/>
    </row>
    <row r="23" spans="1:47" ht="12.75" customHeight="1">
      <c r="A23" s="18"/>
      <c r="B23" s="232" t="str">
        <f>Lookups!E22 &amp; " - " &amp; Lookups!G22</f>
        <v>3.6 - Automed exception reports</v>
      </c>
      <c r="C23" s="48" t="str">
        <f ca="1">Lookups!M22</f>
        <v>Nothing</v>
      </c>
      <c r="D23" s="48" t="str">
        <f ca="1">Lookups!N22</f>
        <v>Good</v>
      </c>
      <c r="E23" s="10"/>
      <c r="F23" s="4"/>
      <c r="G23" s="4"/>
      <c r="H23" s="19"/>
      <c r="AR23" s="3"/>
      <c r="AS23" s="3"/>
      <c r="AT23" s="3"/>
      <c r="AU23" s="3"/>
    </row>
    <row r="24" spans="1:47" ht="12.75" customHeight="1" thickBot="1">
      <c r="A24" s="18"/>
      <c r="B24" s="232" t="str">
        <f>Lookups!E23 &amp; " - " &amp; Lookups!G23</f>
        <v>3.7 - BI capacity</v>
      </c>
      <c r="C24" s="48" t="str">
        <f ca="1">Lookups!M23</f>
        <v>Nothing</v>
      </c>
      <c r="D24" s="48" t="str">
        <f ca="1">Lookups!N23</f>
        <v>Good</v>
      </c>
      <c r="E24" s="10"/>
      <c r="F24" s="4"/>
      <c r="G24" s="4"/>
      <c r="H24" s="19"/>
      <c r="AR24" s="3"/>
      <c r="AS24" s="3"/>
      <c r="AT24" s="3"/>
      <c r="AU24" s="3"/>
    </row>
    <row r="25" spans="1:47" ht="12.75" customHeight="1">
      <c r="A25" s="18"/>
      <c r="B25" s="52" t="s">
        <v>37</v>
      </c>
      <c r="C25" s="57" t="str">
        <f ca="1">_xlfn.IFNA(TEXT(SUM(Lookups!$H$8:$H$22),"#") &amp; "/" &amp; SUM(Lookups!$O$8:$O$22),"Incomplete")</f>
        <v>32/60</v>
      </c>
      <c r="D25" s="57" t="str">
        <f ca="1">_xlfn.IFNA(TEXT(SUM(Lookups!$L$8:$L$22),"#") &amp; "/" &amp; SUM(Lookups!$O$8:$O$22),"Incomplete")</f>
        <v>48/60</v>
      </c>
      <c r="E25" s="10"/>
      <c r="F25" s="4"/>
      <c r="G25" s="4"/>
      <c r="H25" s="19"/>
      <c r="AR25" s="3"/>
      <c r="AS25" s="3"/>
      <c r="AT25" s="3"/>
      <c r="AU25" s="3"/>
    </row>
    <row r="26" spans="1:47">
      <c r="A26" s="20"/>
      <c r="B26" s="21"/>
      <c r="C26" s="21"/>
      <c r="D26" s="22"/>
      <c r="E26" s="22"/>
      <c r="F26" s="22"/>
      <c r="G26" s="23"/>
      <c r="H26" s="24"/>
    </row>
  </sheetData>
  <sheetProtection algorithmName="SHA-512" hashValue="ZIg+jR1S1vv12D6ZfiNTxMPv+9yGNZzHMaZ1GsL5FKnL1WiWXBnOkyXF7uOKGS7WF3czoEm6JTvbOQvuDmjcAg==" saltValue="FslLiuKibT/2jWBWwbZ+hw==" spinCount="100000" sheet="1" objects="1" scenarios="1"/>
  <mergeCells count="3">
    <mergeCell ref="A2:H2"/>
    <mergeCell ref="A3:H3"/>
    <mergeCell ref="B5:G7"/>
  </mergeCells>
  <pageMargins left="0.7" right="0.7" top="0.75" bottom="0.75" header="0.3" footer="0.3"/>
  <pageSetup scale="82"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C407B-A963-4C19-810F-FABEC201D13C}">
  <sheetPr>
    <pageSetUpPr fitToPage="1"/>
  </sheetPr>
  <dimension ref="A1:AR18"/>
  <sheetViews>
    <sheetView showGridLines="0" showRowColHeaders="0" topLeftCell="A2" zoomScale="120" zoomScaleNormal="120" workbookViewId="0">
      <selection activeCell="D19" sqref="D19"/>
    </sheetView>
  </sheetViews>
  <sheetFormatPr defaultColWidth="9" defaultRowHeight="14.25"/>
  <cols>
    <col min="1" max="1" width="1.625" style="1" customWidth="1"/>
    <col min="2" max="2" width="13.125" style="4" customWidth="1"/>
    <col min="3" max="3" width="13" style="4" customWidth="1"/>
    <col min="4" max="4" width="107" style="1" customWidth="1"/>
    <col min="5" max="5" width="1.375" style="2" customWidth="1"/>
    <col min="6" max="7" width="9" style="2"/>
    <col min="8" max="8" width="9" style="7"/>
    <col min="9" max="40" width="9" style="2"/>
    <col min="41" max="16384" width="9" style="1"/>
  </cols>
  <sheetData>
    <row r="1" spans="1:44">
      <c r="AO1" s="3"/>
      <c r="AP1" s="3"/>
      <c r="AQ1" s="3"/>
      <c r="AR1" s="3"/>
    </row>
    <row r="2" spans="1:44" ht="54" customHeight="1">
      <c r="A2" s="193" t="str">
        <f>"Change Log - " &amp; ToolName</f>
        <v>Change Log - NHSE England Demand and Capacity Planning Roadmap and Maturity Tool</v>
      </c>
      <c r="B2" s="194"/>
      <c r="C2" s="194"/>
      <c r="D2" s="194"/>
      <c r="E2" s="195"/>
      <c r="AO2" s="3"/>
      <c r="AP2" s="3"/>
      <c r="AQ2" s="3"/>
      <c r="AR2" s="3"/>
    </row>
    <row r="3" spans="1:44" ht="23.25" customHeight="1">
      <c r="A3" s="142" t="str">
        <f>"Development of the " &amp; ToolName</f>
        <v>Development of the NHSE England Demand and Capacity Planning Roadmap and Maturity Tool</v>
      </c>
      <c r="B3" s="143"/>
      <c r="C3" s="143"/>
      <c r="D3" s="143"/>
      <c r="E3" s="144"/>
      <c r="AO3" s="3"/>
      <c r="AP3" s="3"/>
      <c r="AQ3" s="3"/>
      <c r="AR3" s="3"/>
    </row>
    <row r="4" spans="1:44" ht="12.75" customHeight="1">
      <c r="A4" s="18"/>
      <c r="D4" s="9"/>
      <c r="E4" s="19"/>
      <c r="AO4" s="3"/>
      <c r="AP4" s="3"/>
      <c r="AQ4" s="3"/>
      <c r="AR4" s="3"/>
    </row>
    <row r="5" spans="1:44" s="56" customFormat="1" ht="12.75" customHeight="1">
      <c r="A5" s="58"/>
      <c r="B5" s="213" t="s">
        <v>38</v>
      </c>
      <c r="C5" s="213"/>
      <c r="D5" s="213"/>
      <c r="E5" s="59"/>
      <c r="F5" s="53"/>
      <c r="G5" s="53"/>
      <c r="H5" s="54"/>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5"/>
      <c r="AP5" s="55"/>
      <c r="AQ5" s="55"/>
      <c r="AR5" s="55"/>
    </row>
    <row r="6" spans="1:44" s="56" customFormat="1" ht="12.75" customHeight="1" thickBot="1">
      <c r="A6" s="58"/>
      <c r="B6" s="213"/>
      <c r="C6" s="213"/>
      <c r="D6" s="213"/>
      <c r="E6" s="59"/>
      <c r="F6" s="53"/>
      <c r="G6" s="53"/>
      <c r="H6" s="54"/>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5"/>
      <c r="AP6" s="55"/>
      <c r="AQ6" s="55"/>
      <c r="AR6" s="55"/>
    </row>
    <row r="7" spans="1:44" ht="20.45" customHeight="1">
      <c r="A7" s="18"/>
      <c r="B7" s="52" t="s">
        <v>39</v>
      </c>
      <c r="C7" s="49" t="s">
        <v>40</v>
      </c>
      <c r="D7" s="51" t="s">
        <v>41</v>
      </c>
      <c r="E7" s="19"/>
      <c r="AO7" s="3"/>
      <c r="AP7" s="3"/>
      <c r="AQ7" s="3"/>
      <c r="AR7" s="3"/>
    </row>
    <row r="8" spans="1:44">
      <c r="A8" s="18"/>
      <c r="B8" s="93">
        <v>1</v>
      </c>
      <c r="C8" s="99">
        <v>44936</v>
      </c>
      <c r="D8" s="96" t="s">
        <v>42</v>
      </c>
      <c r="E8" s="19"/>
      <c r="AO8" s="3"/>
      <c r="AP8" s="3"/>
      <c r="AQ8" s="3"/>
      <c r="AR8" s="3"/>
    </row>
    <row r="9" spans="1:44">
      <c r="A9" s="18"/>
      <c r="B9" s="94">
        <v>1.1000000000000001</v>
      </c>
      <c r="C9" s="99">
        <v>45037</v>
      </c>
      <c r="D9" s="97" t="s">
        <v>139</v>
      </c>
      <c r="E9" s="19"/>
      <c r="AO9" s="3"/>
      <c r="AP9" s="3"/>
      <c r="AQ9" s="3"/>
      <c r="AR9" s="3"/>
    </row>
    <row r="10" spans="1:44">
      <c r="A10" s="18"/>
      <c r="B10" s="94">
        <v>1.2</v>
      </c>
      <c r="C10" s="99">
        <v>45057</v>
      </c>
      <c r="D10" s="97" t="s">
        <v>140</v>
      </c>
      <c r="E10" s="19"/>
      <c r="AO10" s="3"/>
      <c r="AP10" s="3"/>
      <c r="AQ10" s="3"/>
      <c r="AR10" s="3"/>
    </row>
    <row r="11" spans="1:44">
      <c r="A11" s="18"/>
      <c r="B11" s="94"/>
      <c r="C11" s="99"/>
      <c r="D11" s="97"/>
      <c r="E11" s="19"/>
      <c r="AO11" s="3"/>
      <c r="AP11" s="3"/>
      <c r="AQ11" s="3"/>
      <c r="AR11" s="3"/>
    </row>
    <row r="12" spans="1:44">
      <c r="A12" s="18"/>
      <c r="B12" s="94"/>
      <c r="C12" s="99"/>
      <c r="D12" s="97"/>
      <c r="E12" s="19"/>
      <c r="AO12" s="3"/>
      <c r="AP12" s="3"/>
      <c r="AQ12" s="3"/>
      <c r="AR12" s="3"/>
    </row>
    <row r="13" spans="1:44">
      <c r="A13" s="18"/>
      <c r="B13" s="94"/>
      <c r="C13" s="99"/>
      <c r="D13" s="97"/>
      <c r="E13" s="19"/>
      <c r="AO13" s="3"/>
      <c r="AP13" s="3"/>
      <c r="AQ13" s="3"/>
      <c r="AR13" s="3"/>
    </row>
    <row r="14" spans="1:44">
      <c r="A14" s="18"/>
      <c r="B14" s="94"/>
      <c r="C14" s="99"/>
      <c r="D14" s="97"/>
      <c r="E14" s="19"/>
      <c r="AO14" s="3"/>
      <c r="AP14" s="3"/>
      <c r="AQ14" s="3"/>
      <c r="AR14" s="3"/>
    </row>
    <row r="15" spans="1:44">
      <c r="A15" s="18"/>
      <c r="B15" s="94"/>
      <c r="C15" s="99"/>
      <c r="D15" s="97"/>
      <c r="E15" s="19"/>
      <c r="AO15" s="3"/>
      <c r="AP15" s="3"/>
      <c r="AQ15" s="3"/>
      <c r="AR15" s="3"/>
    </row>
    <row r="16" spans="1:44">
      <c r="A16" s="18"/>
      <c r="B16" s="94"/>
      <c r="C16" s="99"/>
      <c r="D16" s="97"/>
      <c r="E16" s="19"/>
      <c r="AO16" s="3"/>
      <c r="AP16" s="3"/>
      <c r="AQ16" s="3"/>
      <c r="AR16" s="3"/>
    </row>
    <row r="17" spans="1:44" ht="15" thickBot="1">
      <c r="A17" s="18"/>
      <c r="B17" s="95"/>
      <c r="C17" s="100"/>
      <c r="D17" s="98"/>
      <c r="E17" s="19"/>
      <c r="AO17" s="3"/>
      <c r="AP17" s="3"/>
      <c r="AQ17" s="3"/>
      <c r="AR17" s="3"/>
    </row>
    <row r="18" spans="1:44">
      <c r="A18" s="20"/>
      <c r="B18" s="21"/>
      <c r="C18" s="21"/>
      <c r="D18" s="22"/>
      <c r="E18" s="24"/>
    </row>
  </sheetData>
  <sheetProtection algorithmName="SHA-512" hashValue="Kt6uERo/OJuM8ffJNmNngr1G4Ri47DFEnD3wIyg+wyI4n7RWm0nP5u/GALBZAB80Z/b3e4Y+OT4HiMO4nkUAcg==" saltValue="3ouG7Cdq9Bymy4x6cSUUVA==" spinCount="100000" sheet="1" selectLockedCells="1" selectUnlockedCells="1"/>
  <mergeCells count="3">
    <mergeCell ref="A2:E2"/>
    <mergeCell ref="A3:E3"/>
    <mergeCell ref="B5:D6"/>
  </mergeCells>
  <pageMargins left="0.7" right="0.7" top="0.75" bottom="0.75" header="0.3" footer="0.3"/>
  <pageSetup scale="82"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C25B-3246-4CC5-BF83-C77EB25DD687}">
  <dimension ref="A2:AA40"/>
  <sheetViews>
    <sheetView zoomScale="70" zoomScaleNormal="70" workbookViewId="0">
      <selection activeCell="B8" sqref="B8"/>
    </sheetView>
  </sheetViews>
  <sheetFormatPr defaultRowHeight="14.25"/>
  <cols>
    <col min="1" max="1" width="2.625" customWidth="1"/>
    <col min="2" max="2" width="29.625" customWidth="1"/>
    <col min="3" max="3" width="12.125" customWidth="1"/>
    <col min="4" max="4" width="14.125" customWidth="1"/>
    <col min="5" max="5" width="4.875" style="106" customWidth="1"/>
    <col min="6" max="6" width="98.875" customWidth="1"/>
    <col min="7" max="7" width="36.375" customWidth="1"/>
    <col min="8" max="11" width="6.625" customWidth="1"/>
    <col min="12" max="13" width="7.125" customWidth="1"/>
    <col min="15" max="15" width="4.625" customWidth="1"/>
    <col min="17" max="17" width="14.375" customWidth="1"/>
    <col min="18" max="18" width="8.625" bestFit="1" customWidth="1"/>
    <col min="19" max="22" width="12.125" bestFit="1" customWidth="1"/>
    <col min="23" max="23" width="11.375" bestFit="1" customWidth="1"/>
  </cols>
  <sheetData>
    <row r="2" spans="1:27" ht="15">
      <c r="F2" s="130" t="s">
        <v>29</v>
      </c>
      <c r="H2" t="s">
        <v>43</v>
      </c>
      <c r="I2">
        <v>1</v>
      </c>
      <c r="J2" t="s">
        <v>29</v>
      </c>
    </row>
    <row r="3" spans="1:27" ht="15">
      <c r="F3" s="130" t="s">
        <v>28</v>
      </c>
      <c r="H3" t="s">
        <v>44</v>
      </c>
      <c r="I3">
        <v>2</v>
      </c>
      <c r="J3" t="s">
        <v>28</v>
      </c>
    </row>
    <row r="4" spans="1:27" ht="15">
      <c r="F4" s="130" t="s">
        <v>26</v>
      </c>
      <c r="H4" t="s">
        <v>45</v>
      </c>
      <c r="I4">
        <v>3</v>
      </c>
      <c r="J4" t="s">
        <v>26</v>
      </c>
    </row>
    <row r="5" spans="1:27" ht="15">
      <c r="F5" s="130" t="s">
        <v>27</v>
      </c>
      <c r="H5" t="s">
        <v>46</v>
      </c>
      <c r="I5">
        <v>4</v>
      </c>
      <c r="J5" t="s">
        <v>27</v>
      </c>
    </row>
    <row r="6" spans="1:27">
      <c r="L6" s="50">
        <f>IF(ReviewDate3="",IF(ReviewDate2="",IF(ReviewDate1="",BaselineDate,ReviewDate1),ReviewDate2),ReviewDate3)</f>
        <v>45272</v>
      </c>
      <c r="M6" s="50"/>
    </row>
    <row r="7" spans="1:27">
      <c r="D7" t="s">
        <v>47</v>
      </c>
      <c r="E7" s="106" t="s">
        <v>48</v>
      </c>
      <c r="F7" t="s">
        <v>49</v>
      </c>
      <c r="H7" t="s">
        <v>50</v>
      </c>
      <c r="I7" t="s">
        <v>51</v>
      </c>
      <c r="J7" t="s">
        <v>52</v>
      </c>
      <c r="K7" t="s">
        <v>53</v>
      </c>
      <c r="L7" s="50" t="s">
        <v>54</v>
      </c>
      <c r="M7" t="s">
        <v>55</v>
      </c>
      <c r="N7" t="s">
        <v>56</v>
      </c>
      <c r="O7" t="s">
        <v>57</v>
      </c>
      <c r="T7" t="s">
        <v>58</v>
      </c>
      <c r="U7" t="s">
        <v>59</v>
      </c>
      <c r="Y7">
        <v>1</v>
      </c>
      <c r="Z7">
        <v>2</v>
      </c>
      <c r="AA7">
        <v>3</v>
      </c>
    </row>
    <row r="8" spans="1:27">
      <c r="A8">
        <v>1</v>
      </c>
      <c r="B8" t="s">
        <v>60</v>
      </c>
      <c r="C8" t="str" cm="1">
        <f t="array" aca="1" ref="C8" ca="1">MID(CELL("filename",'Strategy and Governance'!F7),FIND("]",CELL("filename",'Strategy and Governance'!F7))+1,255)</f>
        <v>Strategy and Governance</v>
      </c>
      <c r="D8" t="str">
        <f t="shared" ref="D8:D13" si="0">Domain01</f>
        <v>Strategy and Governance</v>
      </c>
      <c r="E8" s="106">
        <v>1.1000000000000001</v>
      </c>
      <c r="F8" t="s">
        <v>61</v>
      </c>
      <c r="G8" t="s">
        <v>62</v>
      </c>
      <c r="H8">
        <f t="shared" ref="H8:H23" ca="1" si="1">VLOOKUP(OFFSET(INDIRECT("'" &amp; VLOOKUP($D8,domainref,2,FALSE) &amp; "'!e6"),MATCH($E8,INDIRECT("'" &amp; VLOOKUP($D8,domainref,2,FALSE) &amp; "'!$B$7:$B$82"),0),0,1,1),bigscore,4,FALSE)</f>
        <v>4</v>
      </c>
      <c r="I8">
        <f t="shared" ref="I8:I23" ca="1" si="2">VLOOKUP(OFFSET(INDIRECT("'" &amp; VLOOKUP($D8,domainref,2,FALSE) &amp; "'!h6"),MATCH($E8,INDIRECT("'" &amp; VLOOKUP($D8,domainref,2,FALSE) &amp; "'!$B$7:$B$82"),0),0,1,1),bigscore,4,FALSE)</f>
        <v>4</v>
      </c>
      <c r="J8">
        <f t="shared" ref="J8:J23" ca="1" si="3">VLOOKUP(OFFSET(INDIRECT("'" &amp; VLOOKUP($D8,domainref,2,FALSE) &amp; "'!i6"),MATCH($E8,INDIRECT("'" &amp; VLOOKUP($D8,domainref,2,FALSE) &amp; "'!$B$7:$B$82"),0),0,1,1),bigscore,4,FALSE)</f>
        <v>4</v>
      </c>
      <c r="K8">
        <f t="shared" ref="K8:K23" ca="1" si="4">VLOOKUP(OFFSET(INDIRECT("'" &amp; VLOOKUP($D8,domainref,2,FALSE) &amp; "'!j6"),MATCH($E8,INDIRECT("'" &amp; VLOOKUP($D8,domainref,2,FALSE) &amp; "'!$B$7:$B$82"),0),0,1,1),bigscore,4,FALSE)</f>
        <v>4</v>
      </c>
      <c r="L8">
        <f t="shared" ref="L8" ca="1" si="5">_xlfn.IFNA(K8,_xlfn.IFNA(J8,_xlfn.IFNA(I8,H8)))</f>
        <v>4</v>
      </c>
      <c r="M8" t="str">
        <f t="shared" ref="M8:M23" ca="1" si="6">VLOOKUP(H8,$I$2:$J$5,2,FALSE)</f>
        <v>Excellent</v>
      </c>
      <c r="N8" t="str">
        <f ca="1">VLOOKUP(L8,$I$2:$J$5,2,FALSE)</f>
        <v>Excellent</v>
      </c>
      <c r="O8">
        <v>4</v>
      </c>
      <c r="P8" t="str">
        <f ca="1">OFFSET(INDIRECT("'" &amp; VLOOKUP($D8,$B$8:$C$16,2,FALSE) &amp; "'!G6"),MATCH($E8,INDIRECT("'" &amp; VLOOKUP($D8,$B$8:$C$16,2,FALSE) &amp; "'!$B$7:$B$82"),0),0,1,1)</f>
        <v xml:space="preserve">test improvement idea </v>
      </c>
      <c r="R8">
        <f ca="1">SUMIF($D$8:$D$62,"=" &amp; B8,$H$8:$H$23)</f>
        <v>11</v>
      </c>
      <c r="S8">
        <f ca="1">SUMIF($D$8:$D$62,"=" &amp; B8,$L$8:$L$23)</f>
        <v>19</v>
      </c>
      <c r="T8">
        <f ca="1">R8/SUMIF($D$8:$D$62,"=" &amp; B8,$O$8:$O$23)</f>
        <v>0.45833333333333331</v>
      </c>
      <c r="U8">
        <f ca="1">S8/SUMIF($D$8:$D$62,"=" &amp; B8,$O$8:$O$23)</f>
        <v>0.79166666666666663</v>
      </c>
      <c r="V8" t="str">
        <f t="shared" ref="V8:V10" si="7">B8</f>
        <v>Strategy and Governance</v>
      </c>
      <c r="X8" t="str">
        <f t="shared" ref="X8:X23" si="8">LEFT(E8,1)</f>
        <v>1</v>
      </c>
      <c r="Y8">
        <f>COUNTIF($X$8:$X$23,Y7)</f>
        <v>6</v>
      </c>
      <c r="Z8">
        <f>COUNTIF($X$8:$X$23,Z7)</f>
        <v>3</v>
      </c>
      <c r="AA8">
        <f>COUNTIF($X$8:$X$23,AA7)</f>
        <v>7</v>
      </c>
    </row>
    <row r="9" spans="1:27">
      <c r="A9">
        <v>2</v>
      </c>
      <c r="B9" t="s">
        <v>63</v>
      </c>
      <c r="C9" t="str" cm="1">
        <f t="array" aca="1" ref="C9" ca="1">MID(CELL("filename",'Operational Processes'!F8),FIND("]",CELL("filename",'Operational Processes'!F8))+1,255)</f>
        <v>Operational Processes</v>
      </c>
      <c r="D9" t="str">
        <f t="shared" si="0"/>
        <v>Strategy and Governance</v>
      </c>
      <c r="E9" s="106">
        <v>1.2</v>
      </c>
      <c r="F9" t="s">
        <v>64</v>
      </c>
      <c r="G9" t="s">
        <v>65</v>
      </c>
      <c r="H9">
        <f t="shared" ca="1" si="1"/>
        <v>2</v>
      </c>
      <c r="I9">
        <f t="shared" ca="1" si="2"/>
        <v>1</v>
      </c>
      <c r="J9">
        <f t="shared" ca="1" si="3"/>
        <v>2</v>
      </c>
      <c r="K9">
        <f t="shared" ca="1" si="4"/>
        <v>4</v>
      </c>
      <c r="L9">
        <f t="shared" ref="L9:L22" ca="1" si="9">_xlfn.IFNA(K9,_xlfn.IFNA(J9,_xlfn.IFNA(I9,H9)))</f>
        <v>4</v>
      </c>
      <c r="M9" t="str">
        <f t="shared" ca="1" si="6"/>
        <v>Fair</v>
      </c>
      <c r="N9" t="str">
        <f t="shared" ref="N9:N22" ca="1" si="10">VLOOKUP(L9,$I$2:$J$6,2,FALSE)</f>
        <v>Excellent</v>
      </c>
      <c r="O9">
        <v>4</v>
      </c>
      <c r="P9" t="str">
        <f t="shared" ref="P9:P22" ca="1" si="11">OFFSET(INDIRECT("'" &amp; VLOOKUP($D9,$B$8:$C$16,2,FALSE) &amp; "'!G6"),MATCH($E9,INDIRECT("'" &amp; VLOOKUP($D9,$B$8:$C$16,2,FALSE) &amp; "'!$B$7:$B$82"),0),0,1,1)</f>
        <v>these pull through to the action plan</v>
      </c>
      <c r="R9">
        <f ca="1">SUMIF($D$8:$D$62,"=" &amp; B10,$H$8:$H$23)</f>
        <v>12</v>
      </c>
      <c r="S9">
        <f ca="1">SUMIF($D$8:$D$62,"=" &amp; B10,$L$8:$L$23)</f>
        <v>20</v>
      </c>
      <c r="T9">
        <f ca="1">R9/SUMIF($D$8:$D$62,"=" &amp; B10,$O$8:$O$23)</f>
        <v>0.42857142857142855</v>
      </c>
      <c r="U9">
        <f ca="1">S9/SUMIF($D$8:$D$62,"=" &amp; B10,$O$8:$O$23)</f>
        <v>0.7142857142857143</v>
      </c>
      <c r="V9" t="str">
        <f t="shared" si="7"/>
        <v>Operational Processes</v>
      </c>
      <c r="X9" t="str">
        <f t="shared" si="8"/>
        <v>1</v>
      </c>
    </row>
    <row r="10" spans="1:27">
      <c r="A10">
        <v>3</v>
      </c>
      <c r="B10" t="s">
        <v>66</v>
      </c>
      <c r="C10" t="str" cm="1">
        <f t="array" aca="1" ref="C10" ca="1">MID(CELL("filename",'Digital and Informatics'!F16),FIND("]",CELL("filename",'Digital and Informatics'!F16))+1,255)</f>
        <v>Digital and Informatics</v>
      </c>
      <c r="D10" t="str">
        <f t="shared" si="0"/>
        <v>Strategy and Governance</v>
      </c>
      <c r="E10" s="106">
        <v>1.3</v>
      </c>
      <c r="F10" t="s">
        <v>67</v>
      </c>
      <c r="G10" t="s">
        <v>68</v>
      </c>
      <c r="H10">
        <f t="shared" ca="1" si="1"/>
        <v>1</v>
      </c>
      <c r="I10">
        <f t="shared" ca="1" si="2"/>
        <v>2</v>
      </c>
      <c r="J10">
        <f t="shared" ca="1" si="3"/>
        <v>3</v>
      </c>
      <c r="K10">
        <f t="shared" ca="1" si="4"/>
        <v>4</v>
      </c>
      <c r="L10">
        <f t="shared" ca="1" si="9"/>
        <v>4</v>
      </c>
      <c r="M10" t="str">
        <f t="shared" ca="1" si="6"/>
        <v>Nothing</v>
      </c>
      <c r="N10" t="str">
        <f t="shared" ca="1" si="10"/>
        <v>Excellent</v>
      </c>
      <c r="O10">
        <v>4</v>
      </c>
      <c r="P10">
        <f t="shared" ca="1" si="11"/>
        <v>0</v>
      </c>
      <c r="R10">
        <f ca="1">SUMIF($D$8:$D$62,"=" &amp; B15,$H$8:$H$23)</f>
        <v>0</v>
      </c>
      <c r="S10">
        <f ca="1">SUMIF($D$8:$D$62,"=" &amp; B15,$L$8:$L$23)</f>
        <v>0</v>
      </c>
      <c r="T10" t="e">
        <f ca="1">R10/SUMIF($D$8:$D$62,"=" &amp; B15,$O$8:$O$23)</f>
        <v>#DIV/0!</v>
      </c>
      <c r="U10" t="e">
        <f ca="1">S10/SUMIF($D$8:$D$62,"=" &amp; B15,$O$8:$O$23)</f>
        <v>#DIV/0!</v>
      </c>
      <c r="V10" t="str">
        <f t="shared" si="7"/>
        <v>Data and Informatics</v>
      </c>
      <c r="X10" t="str">
        <f t="shared" si="8"/>
        <v>1</v>
      </c>
    </row>
    <row r="11" spans="1:27">
      <c r="D11" t="str">
        <f t="shared" si="0"/>
        <v>Strategy and Governance</v>
      </c>
      <c r="E11" s="106">
        <v>1.4</v>
      </c>
      <c r="F11" t="s">
        <v>69</v>
      </c>
      <c r="G11" t="s">
        <v>70</v>
      </c>
      <c r="H11">
        <f t="shared" ca="1" si="1"/>
        <v>1</v>
      </c>
      <c r="I11">
        <f t="shared" ca="1" si="2"/>
        <v>3</v>
      </c>
      <c r="J11">
        <f t="shared" ca="1" si="3"/>
        <v>3</v>
      </c>
      <c r="K11">
        <f t="shared" ca="1" si="4"/>
        <v>3</v>
      </c>
      <c r="L11">
        <f t="shared" ca="1" si="9"/>
        <v>3</v>
      </c>
      <c r="M11" t="str">
        <f t="shared" ca="1" si="6"/>
        <v>Nothing</v>
      </c>
      <c r="N11" t="str">
        <f t="shared" ca="1" si="10"/>
        <v>Good</v>
      </c>
      <c r="O11">
        <v>4</v>
      </c>
      <c r="P11">
        <f t="shared" ca="1" si="11"/>
        <v>0</v>
      </c>
      <c r="X11" t="str">
        <f t="shared" si="8"/>
        <v>1</v>
      </c>
    </row>
    <row r="12" spans="1:27">
      <c r="D12" t="str">
        <f t="shared" si="0"/>
        <v>Strategy and Governance</v>
      </c>
      <c r="E12" s="106">
        <v>1.5</v>
      </c>
      <c r="F12" t="s">
        <v>71</v>
      </c>
      <c r="G12" t="s">
        <v>72</v>
      </c>
      <c r="H12">
        <f t="shared" ca="1" si="1"/>
        <v>2</v>
      </c>
      <c r="I12">
        <f t="shared" ca="1" si="2"/>
        <v>1</v>
      </c>
      <c r="J12">
        <f t="shared" ca="1" si="3"/>
        <v>4</v>
      </c>
      <c r="K12">
        <f t="shared" ca="1" si="4"/>
        <v>1</v>
      </c>
      <c r="L12">
        <f t="shared" ca="1" si="9"/>
        <v>1</v>
      </c>
      <c r="M12" t="str">
        <f t="shared" ca="1" si="6"/>
        <v>Fair</v>
      </c>
      <c r="N12" t="str">
        <f t="shared" ca="1" si="10"/>
        <v>Nothing</v>
      </c>
      <c r="O12">
        <v>4</v>
      </c>
      <c r="P12">
        <f t="shared" ca="1" si="11"/>
        <v>0</v>
      </c>
      <c r="X12" t="str">
        <f t="shared" si="8"/>
        <v>1</v>
      </c>
    </row>
    <row r="13" spans="1:27">
      <c r="D13" t="str">
        <f t="shared" si="0"/>
        <v>Strategy and Governance</v>
      </c>
      <c r="E13" s="106">
        <v>1.6</v>
      </c>
      <c r="F13" t="s">
        <v>73</v>
      </c>
      <c r="G13" t="s">
        <v>74</v>
      </c>
      <c r="H13">
        <f t="shared" ca="1" si="1"/>
        <v>1</v>
      </c>
      <c r="I13">
        <f t="shared" ca="1" si="2"/>
        <v>2</v>
      </c>
      <c r="J13">
        <f t="shared" ca="1" si="3"/>
        <v>3</v>
      </c>
      <c r="K13">
        <f t="shared" ca="1" si="4"/>
        <v>3</v>
      </c>
      <c r="L13">
        <f t="shared" ca="1" si="9"/>
        <v>3</v>
      </c>
      <c r="M13" t="str">
        <f t="shared" ca="1" si="6"/>
        <v>Nothing</v>
      </c>
      <c r="N13" t="str">
        <f t="shared" ca="1" si="10"/>
        <v>Good</v>
      </c>
      <c r="O13">
        <v>4</v>
      </c>
      <c r="P13">
        <f t="shared" ca="1" si="11"/>
        <v>0</v>
      </c>
      <c r="X13" t="str">
        <f t="shared" si="8"/>
        <v>1</v>
      </c>
    </row>
    <row r="14" spans="1:27">
      <c r="D14" t="str">
        <f>Domain02</f>
        <v>Operational Processes</v>
      </c>
      <c r="E14">
        <v>2.1</v>
      </c>
      <c r="F14" t="s">
        <v>75</v>
      </c>
      <c r="G14" t="s">
        <v>76</v>
      </c>
      <c r="H14">
        <f t="shared" ca="1" si="1"/>
        <v>4</v>
      </c>
      <c r="I14">
        <f t="shared" ca="1" si="2"/>
        <v>4</v>
      </c>
      <c r="J14">
        <f t="shared" ca="1" si="3"/>
        <v>4</v>
      </c>
      <c r="K14">
        <f t="shared" ca="1" si="4"/>
        <v>4</v>
      </c>
      <c r="L14">
        <f t="shared" ca="1" si="9"/>
        <v>4</v>
      </c>
      <c r="M14" t="str">
        <f t="shared" ca="1" si="6"/>
        <v>Excellent</v>
      </c>
      <c r="N14" t="str">
        <f t="shared" ca="1" si="10"/>
        <v>Excellent</v>
      </c>
      <c r="O14">
        <v>4</v>
      </c>
      <c r="P14">
        <f t="shared" ca="1" si="11"/>
        <v>0</v>
      </c>
      <c r="X14" t="str">
        <f t="shared" si="8"/>
        <v>2</v>
      </c>
    </row>
    <row r="15" spans="1:27">
      <c r="B15" t="s">
        <v>30</v>
      </c>
      <c r="D15" t="str">
        <f t="shared" ref="D15:D16" si="12">Domain02</f>
        <v>Operational Processes</v>
      </c>
      <c r="E15" s="129">
        <v>2.2000000000000002</v>
      </c>
      <c r="F15" t="s">
        <v>77</v>
      </c>
      <c r="G15" t="s">
        <v>78</v>
      </c>
      <c r="H15">
        <f t="shared" ca="1" si="1"/>
        <v>2</v>
      </c>
      <c r="I15">
        <f t="shared" ca="1" si="2"/>
        <v>4</v>
      </c>
      <c r="J15">
        <f t="shared" ca="1" si="3"/>
        <v>4</v>
      </c>
      <c r="K15">
        <f t="shared" ca="1" si="4"/>
        <v>4</v>
      </c>
      <c r="L15">
        <f t="shared" ca="1" si="9"/>
        <v>4</v>
      </c>
      <c r="M15" t="str">
        <f t="shared" ca="1" si="6"/>
        <v>Fair</v>
      </c>
      <c r="N15" t="str">
        <f t="shared" ca="1" si="10"/>
        <v>Excellent</v>
      </c>
      <c r="O15">
        <v>4</v>
      </c>
      <c r="P15">
        <f t="shared" ca="1" si="11"/>
        <v>0</v>
      </c>
      <c r="X15" t="str">
        <f t="shared" si="8"/>
        <v>2</v>
      </c>
    </row>
    <row r="16" spans="1:27">
      <c r="D16" t="str">
        <f t="shared" si="12"/>
        <v>Operational Processes</v>
      </c>
      <c r="E16">
        <v>2.2999999999999998</v>
      </c>
      <c r="F16" t="s">
        <v>79</v>
      </c>
      <c r="G16" t="s">
        <v>80</v>
      </c>
      <c r="H16">
        <f t="shared" ca="1" si="1"/>
        <v>4</v>
      </c>
      <c r="I16">
        <f t="shared" ca="1" si="2"/>
        <v>4</v>
      </c>
      <c r="J16">
        <f t="shared" ca="1" si="3"/>
        <v>4</v>
      </c>
      <c r="K16">
        <f t="shared" ca="1" si="4"/>
        <v>4</v>
      </c>
      <c r="L16">
        <f t="shared" ca="1" si="9"/>
        <v>4</v>
      </c>
      <c r="M16" t="str">
        <f t="shared" ca="1" si="6"/>
        <v>Excellent</v>
      </c>
      <c r="N16" t="str">
        <f t="shared" ca="1" si="10"/>
        <v>Excellent</v>
      </c>
      <c r="O16">
        <v>4</v>
      </c>
      <c r="P16">
        <f t="shared" ca="1" si="11"/>
        <v>0</v>
      </c>
      <c r="X16" t="str">
        <f t="shared" si="8"/>
        <v>2</v>
      </c>
    </row>
    <row r="17" spans="4:24">
      <c r="D17" t="str">
        <f>Domain03</f>
        <v>Data and Informatics</v>
      </c>
      <c r="E17">
        <v>3.1</v>
      </c>
      <c r="F17" t="s">
        <v>81</v>
      </c>
      <c r="G17" t="s">
        <v>82</v>
      </c>
      <c r="H17">
        <f t="shared" ca="1" si="1"/>
        <v>4</v>
      </c>
      <c r="I17">
        <f t="shared" ca="1" si="2"/>
        <v>4</v>
      </c>
      <c r="J17">
        <f t="shared" ca="1" si="3"/>
        <v>4</v>
      </c>
      <c r="K17">
        <f t="shared" ca="1" si="4"/>
        <v>4</v>
      </c>
      <c r="L17">
        <f t="shared" ca="1" si="9"/>
        <v>4</v>
      </c>
      <c r="M17" t="str">
        <f t="shared" ca="1" si="6"/>
        <v>Excellent</v>
      </c>
      <c r="N17" t="str">
        <f t="shared" ca="1" si="10"/>
        <v>Excellent</v>
      </c>
      <c r="O17">
        <v>4</v>
      </c>
      <c r="P17">
        <f t="shared" ca="1" si="11"/>
        <v>0</v>
      </c>
      <c r="X17" t="str">
        <f t="shared" si="8"/>
        <v>3</v>
      </c>
    </row>
    <row r="18" spans="4:24">
      <c r="D18" t="str">
        <f>Domain03</f>
        <v>Data and Informatics</v>
      </c>
      <c r="E18">
        <v>3.2</v>
      </c>
      <c r="F18" t="s">
        <v>83</v>
      </c>
      <c r="G18" t="s">
        <v>84</v>
      </c>
      <c r="H18">
        <f t="shared" ca="1" si="1"/>
        <v>3</v>
      </c>
      <c r="I18">
        <f t="shared" ca="1" si="2"/>
        <v>2</v>
      </c>
      <c r="J18">
        <f t="shared" ca="1" si="3"/>
        <v>2</v>
      </c>
      <c r="K18">
        <f t="shared" ca="1" si="4"/>
        <v>2</v>
      </c>
      <c r="L18">
        <f t="shared" ca="1" si="9"/>
        <v>2</v>
      </c>
      <c r="M18" t="str">
        <f t="shared" ca="1" si="6"/>
        <v>Good</v>
      </c>
      <c r="N18" t="str">
        <f t="shared" ca="1" si="10"/>
        <v>Fair</v>
      </c>
      <c r="O18">
        <v>4</v>
      </c>
      <c r="P18">
        <f t="shared" ca="1" si="11"/>
        <v>0</v>
      </c>
      <c r="X18" t="str">
        <f t="shared" si="8"/>
        <v>3</v>
      </c>
    </row>
    <row r="19" spans="4:24">
      <c r="D19" t="str">
        <f>Domain03</f>
        <v>Data and Informatics</v>
      </c>
      <c r="E19">
        <v>3.3</v>
      </c>
      <c r="F19" t="s">
        <v>85</v>
      </c>
      <c r="G19" t="s">
        <v>86</v>
      </c>
      <c r="H19">
        <f t="shared" ca="1" si="1"/>
        <v>1</v>
      </c>
      <c r="I19">
        <f t="shared" ca="1" si="2"/>
        <v>1</v>
      </c>
      <c r="J19">
        <f t="shared" ca="1" si="3"/>
        <v>2</v>
      </c>
      <c r="K19">
        <f t="shared" ca="1" si="4"/>
        <v>3</v>
      </c>
      <c r="L19">
        <f t="shared" ca="1" si="9"/>
        <v>3</v>
      </c>
      <c r="M19" t="str">
        <f t="shared" ca="1" si="6"/>
        <v>Nothing</v>
      </c>
      <c r="N19" t="str">
        <f t="shared" ca="1" si="10"/>
        <v>Good</v>
      </c>
      <c r="O19">
        <v>4</v>
      </c>
      <c r="P19">
        <f t="shared" ca="1" si="11"/>
        <v>0</v>
      </c>
      <c r="X19" t="str">
        <f t="shared" si="8"/>
        <v>3</v>
      </c>
    </row>
    <row r="20" spans="4:24">
      <c r="D20" t="str">
        <f>Domain03</f>
        <v>Data and Informatics</v>
      </c>
      <c r="E20">
        <v>3.4</v>
      </c>
      <c r="F20" t="s">
        <v>87</v>
      </c>
      <c r="G20" t="s">
        <v>88</v>
      </c>
      <c r="H20">
        <f t="shared" ca="1" si="1"/>
        <v>1</v>
      </c>
      <c r="I20">
        <f t="shared" ca="1" si="2"/>
        <v>1</v>
      </c>
      <c r="J20">
        <f t="shared" ca="1" si="3"/>
        <v>2</v>
      </c>
      <c r="K20">
        <f t="shared" ca="1" si="4"/>
        <v>2</v>
      </c>
      <c r="L20">
        <f t="shared" ca="1" si="9"/>
        <v>2</v>
      </c>
      <c r="M20" t="str">
        <f t="shared" ca="1" si="6"/>
        <v>Nothing</v>
      </c>
      <c r="N20" t="str">
        <f t="shared" ca="1" si="10"/>
        <v>Fair</v>
      </c>
      <c r="O20">
        <v>4</v>
      </c>
      <c r="P20">
        <f t="shared" ca="1" si="11"/>
        <v>0</v>
      </c>
      <c r="X20" t="str">
        <f t="shared" si="8"/>
        <v>3</v>
      </c>
    </row>
    <row r="21" spans="4:24">
      <c r="D21" t="str">
        <f>Domain03</f>
        <v>Data and Informatics</v>
      </c>
      <c r="E21">
        <v>3.5</v>
      </c>
      <c r="F21" t="s">
        <v>89</v>
      </c>
      <c r="G21" t="s">
        <v>90</v>
      </c>
      <c r="H21">
        <f t="shared" ca="1" si="1"/>
        <v>1</v>
      </c>
      <c r="I21">
        <f t="shared" ca="1" si="2"/>
        <v>2</v>
      </c>
      <c r="J21">
        <f t="shared" ca="1" si="3"/>
        <v>3</v>
      </c>
      <c r="K21">
        <f t="shared" ca="1" si="4"/>
        <v>3</v>
      </c>
      <c r="L21">
        <f t="shared" ca="1" si="9"/>
        <v>3</v>
      </c>
      <c r="M21" t="str">
        <f t="shared" ca="1" si="6"/>
        <v>Nothing</v>
      </c>
      <c r="N21" t="str">
        <f t="shared" ca="1" si="10"/>
        <v>Good</v>
      </c>
      <c r="O21">
        <v>4</v>
      </c>
      <c r="P21">
        <f t="shared" ca="1" si="11"/>
        <v>0</v>
      </c>
      <c r="X21" t="str">
        <f t="shared" si="8"/>
        <v>3</v>
      </c>
    </row>
    <row r="22" spans="4:24">
      <c r="D22" t="str">
        <f t="shared" ref="D22:D23" si="13">Domain03</f>
        <v>Data and Informatics</v>
      </c>
      <c r="E22">
        <v>3.6</v>
      </c>
      <c r="F22" t="s">
        <v>91</v>
      </c>
      <c r="G22" t="s">
        <v>92</v>
      </c>
      <c r="H22">
        <f t="shared" ca="1" si="1"/>
        <v>1</v>
      </c>
      <c r="I22">
        <f t="shared" ca="1" si="2"/>
        <v>1</v>
      </c>
      <c r="J22">
        <f t="shared" ca="1" si="3"/>
        <v>2</v>
      </c>
      <c r="K22">
        <f t="shared" ca="1" si="4"/>
        <v>3</v>
      </c>
      <c r="L22">
        <f t="shared" ca="1" si="9"/>
        <v>3</v>
      </c>
      <c r="M22" t="str">
        <f t="shared" ca="1" si="6"/>
        <v>Nothing</v>
      </c>
      <c r="N22" t="str">
        <f t="shared" ca="1" si="10"/>
        <v>Good</v>
      </c>
      <c r="O22">
        <v>4</v>
      </c>
      <c r="P22">
        <f t="shared" ca="1" si="11"/>
        <v>0</v>
      </c>
      <c r="X22" t="str">
        <f t="shared" si="8"/>
        <v>3</v>
      </c>
    </row>
    <row r="23" spans="4:24">
      <c r="D23" t="str">
        <f t="shared" si="13"/>
        <v>Data and Informatics</v>
      </c>
      <c r="E23" s="129">
        <v>3.7</v>
      </c>
      <c r="F23" t="s">
        <v>93</v>
      </c>
      <c r="G23" t="s">
        <v>94</v>
      </c>
      <c r="H23">
        <f t="shared" ca="1" si="1"/>
        <v>1</v>
      </c>
      <c r="I23">
        <f t="shared" ca="1" si="2"/>
        <v>2</v>
      </c>
      <c r="J23">
        <f t="shared" ca="1" si="3"/>
        <v>2</v>
      </c>
      <c r="K23">
        <f t="shared" ca="1" si="4"/>
        <v>3</v>
      </c>
      <c r="L23">
        <f t="shared" ref="L23" ca="1" si="14">_xlfn.IFNA(K23,_xlfn.IFNA(J23,_xlfn.IFNA(I23,H23)))</f>
        <v>3</v>
      </c>
      <c r="M23" t="str">
        <f t="shared" ca="1" si="6"/>
        <v>Nothing</v>
      </c>
      <c r="N23" t="str">
        <f t="shared" ref="N23" ca="1" si="15">VLOOKUP(L23,$I$2:$J$6,2,FALSE)</f>
        <v>Good</v>
      </c>
      <c r="O23">
        <v>4</v>
      </c>
      <c r="P23">
        <f ca="1">OFFSET(INDIRECT("'" &amp; VLOOKUP($D23,$B$8:$C$16,2,FALSE) &amp; "'!G6"),MATCH($E23,INDIRECT("'" &amp; VLOOKUP($D23,$B$8:$C$16,2,FALSE) &amp; "'!$B$7:$B$82"),0),0,1,1)</f>
        <v>0</v>
      </c>
      <c r="X23" t="str">
        <f t="shared" si="8"/>
        <v>3</v>
      </c>
    </row>
    <row r="40" ht="14.1" customHeight="1"/>
  </sheetData>
  <phoneticPr fontId="4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0019-FD52-4ACA-8E74-D908BDEF6728}">
  <sheetPr>
    <outlinePr summaryBelow="0" summaryRight="0"/>
    <pageSetUpPr fitToPage="1"/>
  </sheetPr>
  <dimension ref="A1:AW49"/>
  <sheetViews>
    <sheetView showGridLines="0" zoomScale="120" zoomScaleNormal="120" workbookViewId="0">
      <selection activeCell="C8" sqref="C8:D8"/>
    </sheetView>
  </sheetViews>
  <sheetFormatPr defaultColWidth="9" defaultRowHeight="14.25" outlineLevelRow="1"/>
  <cols>
    <col min="1" max="1" width="1.625" style="1" customWidth="1"/>
    <col min="2" max="3" width="4.125" style="4" customWidth="1"/>
    <col min="4" max="4" width="44.375" style="1" customWidth="1"/>
    <col min="5" max="5" width="7.875" style="1" customWidth="1"/>
    <col min="6" max="6" width="48.625" customWidth="1"/>
    <col min="7" max="8" width="7.875" style="1" customWidth="1"/>
    <col min="9" max="9" width="7.875" style="2" customWidth="1"/>
    <col min="10" max="10" width="1.375" style="2" customWidth="1"/>
    <col min="11" max="12" width="9" style="2"/>
    <col min="13" max="13" width="9" style="7"/>
    <col min="14" max="45" width="9" style="2"/>
    <col min="46" max="16384" width="9" style="1"/>
  </cols>
  <sheetData>
    <row r="1" spans="1:49">
      <c r="AT1" s="3"/>
      <c r="AU1" s="3"/>
      <c r="AV1" s="3"/>
      <c r="AW1" s="3"/>
    </row>
    <row r="2" spans="1:49" ht="54" customHeight="1">
      <c r="A2" s="193" t="str">
        <f>Domain01 &amp; " - " &amp; ToolName</f>
        <v>Strategy and Governance - NHSE England Demand and Capacity Planning Roadmap and Maturity Tool</v>
      </c>
      <c r="B2" s="194"/>
      <c r="C2" s="194"/>
      <c r="D2" s="194"/>
      <c r="E2" s="194"/>
      <c r="F2" s="194"/>
      <c r="G2" s="194"/>
      <c r="H2" s="194"/>
      <c r="I2" s="194"/>
      <c r="J2" s="195"/>
      <c r="AT2" s="3"/>
      <c r="AU2" s="3"/>
      <c r="AV2" s="3"/>
      <c r="AW2" s="3"/>
    </row>
    <row r="3" spans="1:49" ht="23.25" customHeight="1" collapsed="1">
      <c r="A3" s="142" t="str">
        <f>"Domain 1 - " &amp; Domain01</f>
        <v>Domain 1 - Strategy and Governance</v>
      </c>
      <c r="B3" s="143"/>
      <c r="C3" s="143"/>
      <c r="D3" s="143"/>
      <c r="E3" s="143"/>
      <c r="F3" s="143"/>
      <c r="G3" s="143"/>
      <c r="H3" s="143"/>
      <c r="I3" s="143"/>
      <c r="J3" s="144"/>
      <c r="AT3" s="3"/>
      <c r="AU3" s="3"/>
      <c r="AV3" s="3"/>
      <c r="AW3" s="3"/>
    </row>
    <row r="4" spans="1:49" ht="405.75" hidden="1" customHeight="1">
      <c r="A4" s="18"/>
      <c r="D4" s="9"/>
      <c r="E4" s="9"/>
      <c r="F4" s="80"/>
      <c r="G4" s="4"/>
      <c r="H4" s="4"/>
      <c r="I4" s="4"/>
      <c r="J4" s="19"/>
      <c r="AT4" s="3"/>
      <c r="AU4" s="3"/>
      <c r="AV4" s="3"/>
      <c r="AW4" s="3"/>
    </row>
    <row r="5" spans="1:49" ht="12.75" customHeight="1" thickBot="1">
      <c r="A5" s="18"/>
      <c r="D5" s="9"/>
      <c r="E5" s="9"/>
      <c r="F5" s="80"/>
      <c r="G5" s="4"/>
      <c r="H5" s="4"/>
      <c r="I5" s="4"/>
      <c r="J5" s="19"/>
      <c r="AT5" s="3"/>
      <c r="AU5" s="3"/>
      <c r="AV5" s="3"/>
      <c r="AW5" s="3"/>
    </row>
    <row r="6" spans="1:49" ht="12.75" customHeight="1">
      <c r="A6" s="18"/>
      <c r="B6" s="196"/>
      <c r="C6" s="198" t="s">
        <v>20</v>
      </c>
      <c r="D6" s="198"/>
      <c r="E6" s="200" t="s">
        <v>21</v>
      </c>
      <c r="F6" s="202" t="s">
        <v>22</v>
      </c>
      <c r="G6" s="206" t="s">
        <v>24</v>
      </c>
      <c r="H6" s="206"/>
      <c r="I6" s="207"/>
      <c r="J6" s="19"/>
      <c r="AT6" s="3"/>
      <c r="AU6" s="3"/>
      <c r="AV6" s="3"/>
      <c r="AW6" s="3"/>
    </row>
    <row r="7" spans="1:49" ht="12.75" customHeight="1" thickBot="1">
      <c r="A7" s="18"/>
      <c r="B7" s="197"/>
      <c r="C7" s="199"/>
      <c r="D7" s="199"/>
      <c r="E7" s="201" t="s">
        <v>25</v>
      </c>
      <c r="F7" s="203"/>
      <c r="G7" s="11">
        <f>IF(ReviewDate1="","",ReviewDate1)</f>
        <v>44927</v>
      </c>
      <c r="H7" s="11">
        <f>IF(ReviewDate2="","",ReviewDate2)</f>
        <v>45114</v>
      </c>
      <c r="I7" s="12">
        <f>IF(ReviewDate3="","",ReviewDate3)</f>
        <v>45272</v>
      </c>
      <c r="J7" s="19"/>
      <c r="AT7" s="3"/>
      <c r="AU7" s="3"/>
      <c r="AV7" s="3"/>
      <c r="AW7" s="3"/>
    </row>
    <row r="8" spans="1:49" ht="58.5" customHeight="1">
      <c r="A8" s="18"/>
      <c r="B8" s="34">
        <v>1.1000000000000001</v>
      </c>
      <c r="C8" s="172" t="str">
        <f>VLOOKUP(B8,Lookups!$E$8:$F$57,2,FALSE)</f>
        <v xml:space="preserve">Demand and capacity modelling is sustainably embedded in routine planning and management activity at all levels. </v>
      </c>
      <c r="D8" s="172"/>
      <c r="E8" s="16"/>
      <c r="F8" s="79"/>
      <c r="G8" s="16"/>
      <c r="H8" s="16"/>
      <c r="I8" s="17"/>
      <c r="J8" s="19"/>
      <c r="AT8" s="3"/>
      <c r="AU8" s="3"/>
      <c r="AV8" s="3"/>
      <c r="AW8" s="3"/>
    </row>
    <row r="9" spans="1:49" ht="14.1" customHeight="1" outlineLevel="1">
      <c r="A9" s="18"/>
      <c r="B9" s="30"/>
      <c r="C9" s="174" t="s">
        <v>95</v>
      </c>
      <c r="D9" s="179" t="s">
        <v>96</v>
      </c>
      <c r="E9" s="180"/>
      <c r="F9" s="180"/>
      <c r="G9" s="180"/>
      <c r="H9" s="180"/>
      <c r="I9" s="181"/>
      <c r="J9" s="19"/>
      <c r="AT9" s="3"/>
      <c r="AU9" s="3"/>
      <c r="AV9" s="3"/>
      <c r="AW9" s="3"/>
    </row>
    <row r="10" spans="1:49" ht="14.1" customHeight="1" outlineLevel="1">
      <c r="A10" s="18"/>
      <c r="B10" s="31"/>
      <c r="C10" s="176"/>
      <c r="D10" s="182" t="s">
        <v>97</v>
      </c>
      <c r="E10" s="183"/>
      <c r="F10" s="183"/>
      <c r="G10" s="183"/>
      <c r="H10" s="183"/>
      <c r="I10" s="184"/>
      <c r="J10" s="19"/>
      <c r="AT10" s="3"/>
      <c r="AU10" s="3"/>
      <c r="AV10" s="3"/>
      <c r="AW10" s="3"/>
    </row>
    <row r="11" spans="1:49" ht="14.25" customHeight="1" outlineLevel="1">
      <c r="A11" s="18"/>
      <c r="B11" s="31"/>
      <c r="C11" s="176"/>
      <c r="D11" s="187" t="s">
        <v>98</v>
      </c>
      <c r="E11" s="188"/>
      <c r="F11" s="188"/>
      <c r="G11" s="188"/>
      <c r="H11" s="188"/>
      <c r="I11" s="189"/>
      <c r="J11" s="19"/>
      <c r="AT11" s="3"/>
      <c r="AU11" s="3"/>
      <c r="AV11" s="3"/>
      <c r="AW11" s="3"/>
    </row>
    <row r="12" spans="1:49" ht="14.1" customHeight="1" outlineLevel="1">
      <c r="A12" s="18"/>
      <c r="B12" s="31"/>
      <c r="C12" s="176"/>
      <c r="D12" s="182" t="s">
        <v>99</v>
      </c>
      <c r="E12" s="183"/>
      <c r="F12" s="183"/>
      <c r="G12" s="183"/>
      <c r="H12" s="183"/>
      <c r="I12" s="184"/>
      <c r="J12" s="19"/>
      <c r="AT12" s="3"/>
      <c r="AU12" s="3"/>
      <c r="AV12" s="3"/>
      <c r="AW12" s="3"/>
    </row>
    <row r="13" spans="1:49" ht="14.25" customHeight="1" outlineLevel="1">
      <c r="A13" s="18"/>
      <c r="B13" s="31"/>
      <c r="C13" s="176"/>
      <c r="D13" s="187" t="s">
        <v>100</v>
      </c>
      <c r="E13" s="188"/>
      <c r="F13" s="188"/>
      <c r="G13" s="188"/>
      <c r="H13" s="188"/>
      <c r="I13" s="189"/>
      <c r="J13" s="19"/>
      <c r="AT13" s="3"/>
      <c r="AU13" s="3"/>
      <c r="AV13" s="3"/>
      <c r="AW13" s="3"/>
    </row>
    <row r="14" spans="1:49" outlineLevel="1">
      <c r="A14" s="18"/>
      <c r="B14" s="32"/>
      <c r="C14" s="178"/>
      <c r="D14" s="190" t="s">
        <v>101</v>
      </c>
      <c r="E14" s="191"/>
      <c r="F14" s="191"/>
      <c r="G14" s="191"/>
      <c r="H14" s="191"/>
      <c r="I14" s="192"/>
      <c r="J14" s="19"/>
      <c r="AT14" s="3"/>
      <c r="AU14" s="3"/>
      <c r="AV14" s="3"/>
      <c r="AW14" s="3"/>
    </row>
    <row r="15" spans="1:49" ht="45" customHeight="1">
      <c r="A15" s="18"/>
      <c r="B15" s="34">
        <v>1.2</v>
      </c>
      <c r="C15" s="172" t="str">
        <f>VLOOKUP(B15,Lookups!$E$8:$F$57,2,FALSE)</f>
        <v>Accountabilities for modelling activity and outputs are clear across all levels</v>
      </c>
      <c r="D15" s="172"/>
      <c r="E15" s="16"/>
      <c r="F15" s="79"/>
      <c r="G15" s="16"/>
      <c r="H15" s="16"/>
      <c r="I15" s="17"/>
      <c r="J15" s="19"/>
      <c r="AT15" s="3"/>
      <c r="AU15" s="3"/>
      <c r="AV15" s="3"/>
      <c r="AW15" s="3"/>
    </row>
    <row r="16" spans="1:49" outlineLevel="1">
      <c r="A16" s="18"/>
      <c r="B16" s="30"/>
      <c r="C16" s="174" t="s">
        <v>95</v>
      </c>
      <c r="D16" s="214" t="s">
        <v>102</v>
      </c>
      <c r="E16" s="215"/>
      <c r="F16" s="215"/>
      <c r="G16" s="215"/>
      <c r="H16" s="215"/>
      <c r="I16" s="216"/>
      <c r="J16" s="19"/>
      <c r="AT16" s="3"/>
      <c r="AU16" s="3"/>
      <c r="AV16" s="3"/>
      <c r="AW16" s="3"/>
    </row>
    <row r="17" spans="1:49" outlineLevel="1">
      <c r="A17" s="18"/>
      <c r="B17" s="31"/>
      <c r="C17" s="176"/>
      <c r="D17" s="217" t="s">
        <v>103</v>
      </c>
      <c r="E17" s="218"/>
      <c r="F17" s="218"/>
      <c r="G17" s="218"/>
      <c r="H17" s="218"/>
      <c r="I17" s="219"/>
      <c r="J17" s="19"/>
      <c r="AT17" s="3"/>
      <c r="AU17" s="3"/>
      <c r="AV17" s="3"/>
      <c r="AW17" s="3"/>
    </row>
    <row r="18" spans="1:49" ht="14.25" customHeight="1" outlineLevel="1">
      <c r="A18" s="18"/>
      <c r="B18" s="31"/>
      <c r="C18" s="176"/>
      <c r="D18" s="220" t="s">
        <v>104</v>
      </c>
      <c r="E18" s="221"/>
      <c r="F18" s="221"/>
      <c r="G18" s="221"/>
      <c r="H18" s="221"/>
      <c r="I18" s="222"/>
      <c r="J18" s="19"/>
      <c r="AT18" s="3"/>
      <c r="AU18" s="3"/>
      <c r="AV18" s="3"/>
      <c r="AW18" s="3"/>
    </row>
    <row r="19" spans="1:49" ht="14.25" customHeight="1" outlineLevel="1">
      <c r="A19" s="18"/>
      <c r="B19" s="31"/>
      <c r="C19" s="176"/>
      <c r="D19" s="217" t="s">
        <v>105</v>
      </c>
      <c r="E19" s="218"/>
      <c r="F19" s="218"/>
      <c r="G19" s="218"/>
      <c r="H19" s="218"/>
      <c r="I19" s="219"/>
      <c r="J19" s="19"/>
      <c r="AT19" s="3"/>
      <c r="AU19" s="3"/>
      <c r="AV19" s="3"/>
      <c r="AW19" s="3"/>
    </row>
    <row r="20" spans="1:49" ht="14.25" customHeight="1" outlineLevel="1">
      <c r="A20" s="18"/>
      <c r="B20" s="32"/>
      <c r="C20" s="178"/>
      <c r="D20" s="223" t="s">
        <v>106</v>
      </c>
      <c r="E20" s="224"/>
      <c r="F20" s="224"/>
      <c r="G20" s="224"/>
      <c r="H20" s="224"/>
      <c r="I20" s="225"/>
      <c r="J20" s="19"/>
      <c r="AT20" s="3"/>
      <c r="AU20" s="3"/>
      <c r="AV20" s="3"/>
      <c r="AW20" s="3"/>
    </row>
    <row r="21" spans="1:49" ht="44.25" customHeight="1">
      <c r="A21" s="18"/>
      <c r="B21" s="34">
        <v>1.3</v>
      </c>
      <c r="C21" s="172" t="str">
        <f>VLOOKUP(B21,Lookups!$E$8:$F$57,2,FALSE)</f>
        <v xml:space="preserve">Governance systems assure the delivery of a consistent and coherent use of modelling across the system. </v>
      </c>
      <c r="D21" s="172"/>
      <c r="E21" s="16"/>
      <c r="F21" s="79"/>
      <c r="G21" s="16"/>
      <c r="H21" s="16"/>
      <c r="I21" s="17"/>
      <c r="J21" s="19"/>
      <c r="AT21" s="3"/>
      <c r="AU21" s="3"/>
      <c r="AV21" s="3"/>
      <c r="AW21" s="3"/>
    </row>
    <row r="22" spans="1:49" ht="30" customHeight="1" outlineLevel="1">
      <c r="A22" s="18"/>
      <c r="B22" s="30"/>
      <c r="C22" s="174" t="s">
        <v>95</v>
      </c>
      <c r="D22" s="214" t="s">
        <v>107</v>
      </c>
      <c r="E22" s="215"/>
      <c r="F22" s="215"/>
      <c r="G22" s="215"/>
      <c r="H22" s="215"/>
      <c r="I22" s="216"/>
      <c r="J22" s="19"/>
      <c r="AT22" s="3"/>
      <c r="AU22" s="3"/>
      <c r="AV22" s="3"/>
      <c r="AW22" s="3"/>
    </row>
    <row r="23" spans="1:49" ht="30" customHeight="1" outlineLevel="1">
      <c r="A23" s="18"/>
      <c r="B23" s="31"/>
      <c r="C23" s="176"/>
      <c r="D23" s="217" t="s">
        <v>108</v>
      </c>
      <c r="E23" s="218"/>
      <c r="F23" s="218"/>
      <c r="G23" s="218"/>
      <c r="H23" s="218"/>
      <c r="I23" s="219"/>
      <c r="J23" s="19"/>
      <c r="AT23" s="3"/>
      <c r="AU23" s="3"/>
      <c r="AV23" s="3"/>
      <c r="AW23" s="3"/>
    </row>
    <row r="24" spans="1:49" ht="14.25" customHeight="1" outlineLevel="1">
      <c r="A24" s="18"/>
      <c r="B24" s="31"/>
      <c r="C24" s="176"/>
      <c r="D24" s="187" t="s">
        <v>109</v>
      </c>
      <c r="E24" s="188"/>
      <c r="F24" s="188"/>
      <c r="G24" s="188"/>
      <c r="H24" s="188"/>
      <c r="I24" s="189"/>
      <c r="J24" s="19"/>
      <c r="AT24" s="3"/>
      <c r="AU24" s="3"/>
      <c r="AV24" s="3"/>
      <c r="AW24" s="3"/>
    </row>
    <row r="25" spans="1:49" ht="14.25" customHeight="1" outlineLevel="1">
      <c r="A25" s="18"/>
      <c r="B25" s="32"/>
      <c r="C25" s="178"/>
      <c r="D25" s="190" t="s">
        <v>110</v>
      </c>
      <c r="E25" s="191"/>
      <c r="F25" s="191"/>
      <c r="G25" s="191"/>
      <c r="H25" s="191"/>
      <c r="I25" s="192"/>
      <c r="J25" s="19"/>
      <c r="AT25" s="3"/>
      <c r="AU25" s="3"/>
      <c r="AV25" s="3"/>
      <c r="AW25" s="3"/>
    </row>
    <row r="26" spans="1:49" ht="48" customHeight="1">
      <c r="A26" s="18"/>
      <c r="B26" s="34">
        <v>1.4</v>
      </c>
      <c r="C26" s="172" t="str">
        <f>VLOOKUP(B26,Lookups!$E$8:$F$57,2,FALSE)</f>
        <v>Modelling is deployed at scale across the system</v>
      </c>
      <c r="D26" s="172"/>
      <c r="E26" s="16"/>
      <c r="F26" s="79"/>
      <c r="G26" s="16"/>
      <c r="H26" s="16"/>
      <c r="I26" s="17"/>
      <c r="J26" s="19"/>
      <c r="AT26" s="3"/>
      <c r="AU26" s="3"/>
      <c r="AV26" s="3"/>
      <c r="AW26" s="3"/>
    </row>
    <row r="27" spans="1:49" outlineLevel="1">
      <c r="A27" s="18"/>
      <c r="B27" s="30"/>
      <c r="C27" s="174" t="s">
        <v>95</v>
      </c>
      <c r="D27" s="214" t="s">
        <v>111</v>
      </c>
      <c r="E27" s="215"/>
      <c r="F27" s="215"/>
      <c r="G27" s="215"/>
      <c r="H27" s="215"/>
      <c r="I27" s="216"/>
      <c r="J27" s="19"/>
      <c r="AT27" s="3"/>
      <c r="AU27" s="3"/>
      <c r="AV27" s="3"/>
      <c r="AW27" s="3"/>
    </row>
    <row r="28" spans="1:49" ht="14.25" customHeight="1" outlineLevel="1">
      <c r="A28" s="18"/>
      <c r="B28" s="31"/>
      <c r="C28" s="176"/>
      <c r="D28" s="217" t="s">
        <v>112</v>
      </c>
      <c r="E28" s="218"/>
      <c r="F28" s="218"/>
      <c r="G28" s="218"/>
      <c r="H28" s="218"/>
      <c r="I28" s="219"/>
      <c r="J28" s="19"/>
      <c r="AT28" s="3"/>
      <c r="AU28" s="3"/>
      <c r="AV28" s="3"/>
      <c r="AW28" s="3"/>
    </row>
    <row r="29" spans="1:49" ht="14.25" customHeight="1" outlineLevel="1">
      <c r="A29" s="18"/>
      <c r="B29" s="31"/>
      <c r="C29" s="176"/>
      <c r="D29" s="187" t="s">
        <v>113</v>
      </c>
      <c r="E29" s="188"/>
      <c r="F29" s="188"/>
      <c r="G29" s="188"/>
      <c r="H29" s="188"/>
      <c r="I29" s="189"/>
      <c r="J29" s="19"/>
      <c r="AT29" s="3"/>
      <c r="AU29" s="3"/>
      <c r="AV29" s="3"/>
      <c r="AW29" s="3"/>
    </row>
    <row r="30" spans="1:49" ht="14.25" customHeight="1" outlineLevel="1">
      <c r="A30" s="18"/>
      <c r="B30" s="32"/>
      <c r="C30" s="178"/>
      <c r="D30" s="190" t="s">
        <v>114</v>
      </c>
      <c r="E30" s="191"/>
      <c r="F30" s="191"/>
      <c r="G30" s="191"/>
      <c r="H30" s="191"/>
      <c r="I30" s="192"/>
      <c r="J30" s="19"/>
      <c r="AT30" s="3"/>
      <c r="AU30" s="3"/>
      <c r="AV30" s="3"/>
      <c r="AW30" s="3"/>
    </row>
    <row r="31" spans="1:49" ht="31.5" customHeight="1">
      <c r="A31" s="18"/>
      <c r="B31" s="34">
        <v>1.5</v>
      </c>
      <c r="C31" s="172" t="str">
        <f>VLOOKUP(B31,Lookups!$E$8:$F$57,2,FALSE)</f>
        <v xml:space="preserve">Modelling outputs are subject to robust operation oversight, analysis and validation.  </v>
      </c>
      <c r="D31" s="172"/>
      <c r="E31" s="16"/>
      <c r="F31" s="79"/>
      <c r="G31" s="16"/>
      <c r="H31" s="16"/>
      <c r="I31" s="17"/>
      <c r="J31" s="19"/>
      <c r="AT31" s="3"/>
      <c r="AU31" s="3"/>
      <c r="AV31" s="3"/>
      <c r="AW31" s="3"/>
    </row>
    <row r="32" spans="1:49" outlineLevel="1">
      <c r="A32" s="18"/>
      <c r="B32" s="30"/>
      <c r="C32" s="174" t="s">
        <v>95</v>
      </c>
      <c r="D32" s="214" t="s">
        <v>115</v>
      </c>
      <c r="E32" s="215"/>
      <c r="F32" s="215"/>
      <c r="G32" s="215"/>
      <c r="H32" s="215"/>
      <c r="I32" s="216"/>
      <c r="J32" s="19"/>
      <c r="AT32" s="3"/>
      <c r="AU32" s="3"/>
      <c r="AV32" s="3"/>
      <c r="AW32" s="3"/>
    </row>
    <row r="33" spans="1:49" ht="14.25" customHeight="1" outlineLevel="1">
      <c r="A33" s="18"/>
      <c r="B33" s="31"/>
      <c r="C33" s="176"/>
      <c r="D33" s="217" t="s">
        <v>116</v>
      </c>
      <c r="E33" s="218"/>
      <c r="F33" s="218"/>
      <c r="G33" s="218"/>
      <c r="H33" s="218"/>
      <c r="I33" s="219"/>
      <c r="J33" s="19"/>
      <c r="AT33" s="3"/>
      <c r="AU33" s="3"/>
      <c r="AV33" s="3"/>
      <c r="AW33" s="3"/>
    </row>
    <row r="34" spans="1:49" ht="14.25" customHeight="1" outlineLevel="1">
      <c r="A34" s="18"/>
      <c r="B34" s="31"/>
      <c r="C34" s="176"/>
      <c r="D34" s="187" t="s">
        <v>117</v>
      </c>
      <c r="E34" s="188"/>
      <c r="F34" s="188"/>
      <c r="G34" s="188"/>
      <c r="H34" s="188"/>
      <c r="I34" s="189"/>
      <c r="J34" s="19"/>
      <c r="AT34" s="3"/>
      <c r="AU34" s="3"/>
      <c r="AV34" s="3"/>
      <c r="AW34" s="3"/>
    </row>
    <row r="35" spans="1:49" ht="14.25" customHeight="1" outlineLevel="1">
      <c r="A35" s="18"/>
      <c r="B35" s="32"/>
      <c r="C35" s="178"/>
      <c r="D35" s="190" t="s">
        <v>118</v>
      </c>
      <c r="E35" s="191"/>
      <c r="F35" s="191"/>
      <c r="G35" s="191"/>
      <c r="H35" s="191"/>
      <c r="I35" s="192"/>
      <c r="J35" s="19"/>
      <c r="AT35" s="3"/>
      <c r="AU35" s="3"/>
      <c r="AV35" s="3"/>
      <c r="AW35" s="3"/>
    </row>
    <row r="36" spans="1:49" ht="58.5" customHeight="1">
      <c r="A36" s="18"/>
      <c r="B36" s="29">
        <v>1.6</v>
      </c>
      <c r="C36" s="226" t="str">
        <f>VLOOKUP(B36,Lookups!$E$8:$F$57,2,FALSE)</f>
        <v>Modelling is used to drive business planning at scale across the system</v>
      </c>
      <c r="D36" s="226"/>
      <c r="E36" s="16"/>
      <c r="F36" s="79"/>
      <c r="G36" s="16"/>
      <c r="H36" s="16"/>
      <c r="I36" s="17"/>
      <c r="J36" s="19"/>
      <c r="AT36" s="3"/>
      <c r="AU36" s="3"/>
      <c r="AV36" s="3"/>
      <c r="AW36" s="3"/>
    </row>
    <row r="37" spans="1:49" outlineLevel="1">
      <c r="A37" s="18"/>
      <c r="B37" s="30"/>
      <c r="C37" s="174" t="s">
        <v>95</v>
      </c>
      <c r="D37" s="179" t="s">
        <v>119</v>
      </c>
      <c r="E37" s="180"/>
      <c r="F37" s="180"/>
      <c r="G37" s="180"/>
      <c r="H37" s="180"/>
      <c r="I37" s="181"/>
      <c r="J37" s="19"/>
      <c r="AT37" s="3"/>
      <c r="AU37" s="3"/>
      <c r="AV37" s="3"/>
      <c r="AW37" s="3"/>
    </row>
    <row r="38" spans="1:49" ht="14.25" customHeight="1" outlineLevel="1">
      <c r="A38" s="18"/>
      <c r="B38" s="31"/>
      <c r="C38" s="176"/>
      <c r="D38" s="182" t="s">
        <v>120</v>
      </c>
      <c r="E38" s="183"/>
      <c r="F38" s="183"/>
      <c r="G38" s="183"/>
      <c r="H38" s="183"/>
      <c r="I38" s="184"/>
      <c r="J38" s="19"/>
      <c r="AT38" s="3"/>
      <c r="AU38" s="3"/>
      <c r="AV38" s="3"/>
      <c r="AW38" s="3"/>
    </row>
    <row r="39" spans="1:49" ht="14.25" customHeight="1" outlineLevel="1">
      <c r="A39" s="18"/>
      <c r="B39" s="31"/>
      <c r="C39" s="176"/>
      <c r="D39" s="187" t="s">
        <v>121</v>
      </c>
      <c r="E39" s="188"/>
      <c r="F39" s="188"/>
      <c r="G39" s="188"/>
      <c r="H39" s="188"/>
      <c r="I39" s="189"/>
      <c r="J39" s="19"/>
      <c r="AT39" s="3"/>
      <c r="AU39" s="3"/>
      <c r="AV39" s="3"/>
      <c r="AW39" s="3"/>
    </row>
    <row r="40" spans="1:49" ht="14.25" customHeight="1" outlineLevel="1">
      <c r="A40" s="18"/>
      <c r="B40" s="31"/>
      <c r="C40" s="176"/>
      <c r="D40" s="182" t="s">
        <v>122</v>
      </c>
      <c r="E40" s="183"/>
      <c r="F40" s="183"/>
      <c r="G40" s="183"/>
      <c r="H40" s="183"/>
      <c r="I40" s="184"/>
      <c r="J40" s="19"/>
      <c r="AT40" s="3"/>
      <c r="AU40" s="3"/>
      <c r="AV40" s="3"/>
      <c r="AW40" s="3"/>
    </row>
    <row r="41" spans="1:49" ht="14.25" customHeight="1" outlineLevel="1">
      <c r="A41" s="18"/>
      <c r="B41" s="31"/>
      <c r="C41" s="176"/>
      <c r="D41" s="187" t="s">
        <v>123</v>
      </c>
      <c r="E41" s="188"/>
      <c r="F41" s="188"/>
      <c r="G41" s="188"/>
      <c r="H41" s="188"/>
      <c r="I41" s="189"/>
      <c r="J41" s="19"/>
      <c r="AT41" s="3"/>
      <c r="AU41" s="3"/>
      <c r="AV41" s="3"/>
      <c r="AW41" s="3"/>
    </row>
    <row r="42" spans="1:49" ht="14.25" customHeight="1" outlineLevel="1">
      <c r="A42" s="18"/>
      <c r="B42" s="32"/>
      <c r="C42" s="178"/>
      <c r="D42" s="190" t="s">
        <v>124</v>
      </c>
      <c r="E42" s="191"/>
      <c r="F42" s="191"/>
      <c r="G42" s="191"/>
      <c r="H42" s="191"/>
      <c r="I42" s="192"/>
      <c r="J42" s="19"/>
      <c r="AT42" s="3"/>
      <c r="AU42" s="3"/>
      <c r="AV42" s="3"/>
      <c r="AW42" s="3"/>
    </row>
    <row r="43" spans="1:49" ht="47.25" customHeight="1">
      <c r="A43" s="18"/>
      <c r="B43" s="29">
        <v>1.7</v>
      </c>
      <c r="C43" s="226" t="e">
        <f>VLOOKUP(B43,Lookups!$E$8:$F$57,2,FALSE)</f>
        <v>#N/A</v>
      </c>
      <c r="D43" s="226"/>
      <c r="E43" s="16"/>
      <c r="F43" s="79"/>
      <c r="G43" s="16"/>
      <c r="H43" s="16"/>
      <c r="I43" s="17"/>
      <c r="J43" s="19"/>
      <c r="AT43" s="3"/>
      <c r="AU43" s="3"/>
      <c r="AV43" s="3"/>
      <c r="AW43" s="3"/>
    </row>
    <row r="44" spans="1:49" ht="14.25" customHeight="1" outlineLevel="1">
      <c r="A44" s="18"/>
      <c r="B44" s="31"/>
      <c r="C44" s="176" t="s">
        <v>95</v>
      </c>
      <c r="D44" s="214" t="s">
        <v>125</v>
      </c>
      <c r="E44" s="215"/>
      <c r="F44" s="215"/>
      <c r="G44" s="215"/>
      <c r="H44" s="215"/>
      <c r="I44" s="216"/>
      <c r="J44" s="19"/>
      <c r="AT44" s="3"/>
      <c r="AU44" s="3"/>
      <c r="AV44" s="3"/>
      <c r="AW44" s="3"/>
    </row>
    <row r="45" spans="1:49" ht="14.25" customHeight="1" outlineLevel="1">
      <c r="A45" s="18"/>
      <c r="B45" s="31"/>
      <c r="C45" s="176"/>
      <c r="D45" s="217" t="s">
        <v>126</v>
      </c>
      <c r="E45" s="218"/>
      <c r="F45" s="218"/>
      <c r="G45" s="218"/>
      <c r="H45" s="218"/>
      <c r="I45" s="219"/>
      <c r="J45" s="19"/>
      <c r="AT45" s="3"/>
      <c r="AU45" s="3"/>
      <c r="AV45" s="3"/>
      <c r="AW45" s="3"/>
    </row>
    <row r="46" spans="1:49" ht="14.25" customHeight="1" outlineLevel="1">
      <c r="A46" s="18"/>
      <c r="B46" s="31"/>
      <c r="C46" s="176"/>
      <c r="D46" s="220" t="s">
        <v>127</v>
      </c>
      <c r="E46" s="221"/>
      <c r="F46" s="221"/>
      <c r="G46" s="221"/>
      <c r="H46" s="221"/>
      <c r="I46" s="222"/>
      <c r="J46" s="19"/>
      <c r="AT46" s="3"/>
      <c r="AU46" s="3"/>
      <c r="AV46" s="3"/>
      <c r="AW46" s="3"/>
    </row>
    <row r="47" spans="1:49" ht="14.25" customHeight="1" outlineLevel="1">
      <c r="A47" s="18"/>
      <c r="B47" s="31"/>
      <c r="C47" s="176"/>
      <c r="D47" s="217" t="s">
        <v>128</v>
      </c>
      <c r="E47" s="218"/>
      <c r="F47" s="218"/>
      <c r="G47" s="218"/>
      <c r="H47" s="218"/>
      <c r="I47" s="219"/>
      <c r="J47" s="19"/>
      <c r="AT47" s="3"/>
      <c r="AU47" s="3"/>
      <c r="AV47" s="3"/>
      <c r="AW47" s="3"/>
    </row>
    <row r="48" spans="1:49" ht="15" customHeight="1" outlineLevel="1" thickBot="1">
      <c r="A48" s="18"/>
      <c r="B48" s="33"/>
      <c r="C48" s="186"/>
      <c r="D48" s="227" t="s">
        <v>129</v>
      </c>
      <c r="E48" s="228"/>
      <c r="F48" s="228"/>
      <c r="G48" s="228"/>
      <c r="H48" s="228"/>
      <c r="I48" s="229"/>
      <c r="J48" s="19"/>
      <c r="AT48" s="3"/>
      <c r="AU48" s="3"/>
      <c r="AV48" s="3"/>
      <c r="AW48" s="3"/>
    </row>
    <row r="49" spans="1:10" collapsed="1">
      <c r="A49" s="20"/>
      <c r="B49" s="21"/>
      <c r="C49" s="21"/>
      <c r="D49" s="22"/>
      <c r="E49" s="22"/>
      <c r="F49" s="81"/>
      <c r="G49" s="22"/>
      <c r="H49" s="22"/>
      <c r="I49" s="23"/>
      <c r="J49" s="24"/>
    </row>
  </sheetData>
  <sheetProtection formatCells="0" formatColumns="0" formatRows="0" insertColumns="0" insertRows="0" deleteColumns="0" deleteRows="0" sort="0" autoFilter="0" pivotTables="0"/>
  <mergeCells count="55">
    <mergeCell ref="C43:D43"/>
    <mergeCell ref="C44:C48"/>
    <mergeCell ref="D44:I44"/>
    <mergeCell ref="D45:I45"/>
    <mergeCell ref="D46:I46"/>
    <mergeCell ref="D47:I47"/>
    <mergeCell ref="D48:I48"/>
    <mergeCell ref="C36:D36"/>
    <mergeCell ref="C37:C42"/>
    <mergeCell ref="D37:I37"/>
    <mergeCell ref="D38:I38"/>
    <mergeCell ref="D39:I39"/>
    <mergeCell ref="D40:I40"/>
    <mergeCell ref="D41:I41"/>
    <mergeCell ref="D42:I42"/>
    <mergeCell ref="C31:D31"/>
    <mergeCell ref="C32:C35"/>
    <mergeCell ref="D32:I32"/>
    <mergeCell ref="D33:I33"/>
    <mergeCell ref="D34:I34"/>
    <mergeCell ref="D35:I35"/>
    <mergeCell ref="C26:D26"/>
    <mergeCell ref="C27:C30"/>
    <mergeCell ref="D27:I27"/>
    <mergeCell ref="D28:I28"/>
    <mergeCell ref="D29:I29"/>
    <mergeCell ref="D30:I30"/>
    <mergeCell ref="C21:D21"/>
    <mergeCell ref="C22:C25"/>
    <mergeCell ref="D22:I22"/>
    <mergeCell ref="D23:I23"/>
    <mergeCell ref="D24:I24"/>
    <mergeCell ref="D25:I25"/>
    <mergeCell ref="C15:D15"/>
    <mergeCell ref="C16:C20"/>
    <mergeCell ref="D16:I16"/>
    <mergeCell ref="D17:I17"/>
    <mergeCell ref="D18:I18"/>
    <mergeCell ref="D19:I19"/>
    <mergeCell ref="D20:I20"/>
    <mergeCell ref="C8:D8"/>
    <mergeCell ref="C9:C14"/>
    <mergeCell ref="D9:I9"/>
    <mergeCell ref="D10:I10"/>
    <mergeCell ref="D11:I11"/>
    <mergeCell ref="D12:I12"/>
    <mergeCell ref="D13:I13"/>
    <mergeCell ref="D14:I14"/>
    <mergeCell ref="A2:J2"/>
    <mergeCell ref="A3:J3"/>
    <mergeCell ref="B6:B7"/>
    <mergeCell ref="C6:D7"/>
    <mergeCell ref="E6:E7"/>
    <mergeCell ref="F6:F7"/>
    <mergeCell ref="G6:I6"/>
  </mergeCells>
  <pageMargins left="0.7" right="0.7" top="0.75" bottom="0.75" header="0.3" footer="0.3"/>
  <pageSetup scale="82" fitToHeight="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A5F12EF-9825-455E-9C2E-D775B5627BDB}">
          <x14:formula1>
            <xm:f>Lookups!$F$2:$F$6</xm:f>
          </x14:formula1>
          <xm:sqref>G43:I43 E36 G36:I36 E31 G31:I31 E26 G26:I26 E21 G21:I21 E43 E15 E8 G8:I8 G15:I15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caf3ac-2de9-44d4-aa31-54302fceb5f7" xsi:nil="true"/>
    <lcf76f155ced4ddcb4097134ff3c332f xmlns="36e1300c-9968-4ef4-9456-fc51d76d31d2">
      <Terms xmlns="http://schemas.microsoft.com/office/infopath/2007/PartnerControls"/>
    </lcf76f155ced4ddcb4097134ff3c332f>
    <_ip_UnifiedCompliancePolicyUIAction xmlns="http://schemas.microsoft.com/sharepoint/v3" xsi:nil="true"/>
    <Review_x0020_Date xmlns="36e1300c-9968-4ef4-9456-fc51d76d31d2"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6228694CFF094BAF2319550995D0A6" ma:contentTypeVersion="55" ma:contentTypeDescription="Create a new document." ma:contentTypeScope="" ma:versionID="d4b6bd64ec359eda23f8aa2f92353cf9">
  <xsd:schema xmlns:xsd="http://www.w3.org/2001/XMLSchema" xmlns:xs="http://www.w3.org/2001/XMLSchema" xmlns:p="http://schemas.microsoft.com/office/2006/metadata/properties" xmlns:ns1="http://schemas.microsoft.com/sharepoint/v3" xmlns:ns2="00405e2d-ab17-4d57-81f5-1ee9003f9ce6" xmlns:ns3="36e1300c-9968-4ef4-9456-fc51d76d31d2" xmlns:ns4="cccaf3ac-2de9-44d4-aa31-54302fceb5f7" targetNamespace="http://schemas.microsoft.com/office/2006/metadata/properties" ma:root="true" ma:fieldsID="b47c9b9e5620c53073d365704233df2c" ns1:_="" ns2:_="" ns3:_="" ns4:_="">
    <xsd:import namespace="http://schemas.microsoft.com/sharepoint/v3"/>
    <xsd:import namespace="00405e2d-ab17-4d57-81f5-1ee9003f9ce6"/>
    <xsd:import namespace="36e1300c-9968-4ef4-9456-fc51d76d31d2"/>
    <xsd:import namespace="cccaf3ac-2de9-44d4-aa31-54302fceb5f7"/>
    <xsd:element name="properties">
      <xsd:complexType>
        <xsd:sequence>
          <xsd:element name="documentManagement">
            <xsd:complexType>
              <xsd:all>
                <xsd:element ref="ns1:_ip_UnifiedCompliancePolicyProperties" minOccurs="0"/>
                <xsd:element ref="ns1:_ip_UnifiedCompliancePolicyUIAction" minOccurs="0"/>
                <xsd:element ref="ns2:SharedWithUsers" minOccurs="0"/>
                <xsd:element ref="ns2:SharedWithDetails" minOccurs="0"/>
                <xsd:element ref="ns3:Review_x0020_Date"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405e2d-ab17-4d57-81f5-1ee9003f9ce6"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6e1300c-9968-4ef4-9456-fc51d76d31d2" elementFormDefault="qualified">
    <xsd:import namespace="http://schemas.microsoft.com/office/2006/documentManagement/types"/>
    <xsd:import namespace="http://schemas.microsoft.com/office/infopath/2007/PartnerControls"/>
    <xsd:element name="Review_x0020_Date" ma:index="12" nillable="true" ma:displayName="Review date" ma:indexed="true" ma:internalName="Review_x0020_Dat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1d7d862-90c4-479f-9c9e-a83ff5c9712d}" ma:internalName="TaxCatchAll" ma:showField="CatchAllData" ma:web="ebd64cbd-6cf5-435c-bd4a-b8fc9bc14a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AE8A4-FB42-4226-B747-713DF7B04391}">
  <ds:schemaRefs>
    <ds:schemaRef ds:uri="http://schemas.microsoft.com/office/2006/documentManagement/types"/>
    <ds:schemaRef ds:uri="http://purl.org/dc/elements/1.1/"/>
    <ds:schemaRef ds:uri="http://schemas.microsoft.com/office/infopath/2007/PartnerControls"/>
    <ds:schemaRef ds:uri="http://purl.org/dc/terms/"/>
    <ds:schemaRef ds:uri="cccaf3ac-2de9-44d4-aa31-54302fceb5f7"/>
    <ds:schemaRef ds:uri="http://schemas.openxmlformats.org/package/2006/metadata/core-properties"/>
    <ds:schemaRef ds:uri="http://www.w3.org/XML/1998/namespace"/>
    <ds:schemaRef ds:uri="http://schemas.microsoft.com/office/2006/metadata/properties"/>
    <ds:schemaRef ds:uri="b172dec4-1e87-4fb6-9abd-5505c22dfc3c"/>
    <ds:schemaRef ds:uri="6f75b2f3-0005-4074-865c-d0f13e6ceb4e"/>
    <ds:schemaRef ds:uri="http://purl.org/dc/dcmitype/"/>
    <ds:schemaRef ds:uri="36e1300c-9968-4ef4-9456-fc51d76d31d2"/>
    <ds:schemaRef ds:uri="http://schemas.microsoft.com/sharepoint/v3"/>
  </ds:schemaRefs>
</ds:datastoreItem>
</file>

<file path=customXml/itemProps2.xml><?xml version="1.0" encoding="utf-8"?>
<ds:datastoreItem xmlns:ds="http://schemas.openxmlformats.org/officeDocument/2006/customXml" ds:itemID="{4AD58F3F-FA8D-4A35-82FE-8C02D7CC9D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0405e2d-ab17-4d57-81f5-1ee9003f9ce6"/>
    <ds:schemaRef ds:uri="36e1300c-9968-4ef4-9456-fc51d76d31d2"/>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B62E1B-3B9D-4237-8893-36EB21D585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Welcome</vt:lpstr>
      <vt:lpstr>Guidance</vt:lpstr>
      <vt:lpstr>Strategy and Governance</vt:lpstr>
      <vt:lpstr>Operational Processes</vt:lpstr>
      <vt:lpstr>Digital and Informatics</vt:lpstr>
      <vt:lpstr>Improvement Plan</vt:lpstr>
      <vt:lpstr>Feedback</vt:lpstr>
      <vt:lpstr>Changelog</vt:lpstr>
      <vt:lpstr>Lookups</vt:lpstr>
      <vt:lpstr>Principles (2)</vt:lpstr>
      <vt:lpstr>BaselineDate</vt:lpstr>
      <vt:lpstr>bigscore</vt:lpstr>
      <vt:lpstr>DataRange</vt:lpstr>
      <vt:lpstr>Domain01</vt:lpstr>
      <vt:lpstr>Domain02</vt:lpstr>
      <vt:lpstr>Domain03</vt:lpstr>
      <vt:lpstr>domainref</vt:lpstr>
      <vt:lpstr>KLOES</vt:lpstr>
      <vt:lpstr>LatestReviewDate</vt:lpstr>
      <vt:lpstr>level1</vt:lpstr>
      <vt:lpstr>level2</vt:lpstr>
      <vt:lpstr>level3</vt:lpstr>
      <vt:lpstr>level4</vt:lpstr>
      <vt:lpstr>Changelog!Print_Area</vt:lpstr>
      <vt:lpstr>'Digital and Informatics'!Print_Area</vt:lpstr>
      <vt:lpstr>Feedback!Print_Area</vt:lpstr>
      <vt:lpstr>'Improvement Plan'!Print_Area</vt:lpstr>
      <vt:lpstr>'Operational Processes'!Print_Area</vt:lpstr>
      <vt:lpstr>'Principles (2)'!Print_Area</vt:lpstr>
      <vt:lpstr>'Strategy and Governance'!Print_Area</vt:lpstr>
      <vt:lpstr>Welcome!Print_Area</vt:lpstr>
      <vt:lpstr>ReviewDate1</vt:lpstr>
      <vt:lpstr>ReviewDate2</vt:lpstr>
      <vt:lpstr>ReviewDate3</vt:lpstr>
      <vt:lpstr>scores</vt:lpstr>
      <vt:lpstr>System</vt:lpstr>
      <vt:lpstr>ToolName</vt:lpstr>
    </vt:vector>
  </TitlesOfParts>
  <Manager/>
  <Company>NHS England and NHS Improvement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MH SIT IAPT System Maturity Tool</dc:title>
  <dc:subject>Adult Mental Health</dc:subject>
  <dc:creator>Michael Watson</dc:creator>
  <cp:keywords>Mental Health;IAPT</cp:keywords>
  <dc:description/>
  <cp:lastModifiedBy>Simon Bristow</cp:lastModifiedBy>
  <cp:revision>5</cp:revision>
  <dcterms:created xsi:type="dcterms:W3CDTF">2015-05-26T12:10:11Z</dcterms:created>
  <dcterms:modified xsi:type="dcterms:W3CDTF">2023-05-12T14:16:43Z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0x010100CB6228694CFF094BAF2319550995D0A6</vt:lpwstr>
  </property>
  <property fmtid="{D5CDD505-2E9C-101B-9397-08002B2CF9AE}" pid="4" name="Order">
    <vt:r8>2400</vt:r8>
  </property>
  <property fmtid="{D5CDD505-2E9C-101B-9397-08002B2CF9AE}" pid="5" name="MediaServiceImageTags">
    <vt:lpwstr/>
  </property>
</Properties>
</file>