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UFC บางพลี\Data Seri\Project imformation System\Yoyo Plant 1\"/>
    </mc:Choice>
  </mc:AlternateContent>
  <xr:revisionPtr revIDLastSave="0" documentId="13_ncr:1_{8849D592-BCB6-4C13-8446-F77482A52BF6}" xr6:coauthVersionLast="45" xr6:coauthVersionMax="45" xr10:uidLastSave="{00000000-0000-0000-0000-000000000000}"/>
  <bookViews>
    <workbookView xWindow="-109" yWindow="1915" windowWidth="17606" windowHeight="7391" xr2:uid="{00000000-000D-0000-FFFF-FFFF00000000}"/>
  </bookViews>
  <sheets>
    <sheet name="YY % Utilization" sheetId="2" r:id="rId1"/>
    <sheet name="Chocotech+WDS" sheetId="5" r:id="rId2"/>
    <sheet name="Dry" sheetId="8" r:id="rId3"/>
    <sheet name="Wrap" sheetId="6" r:id="rId4"/>
    <sheet name="Pack" sheetId="7" r:id="rId5"/>
    <sheet name="SNACK " sheetId="3" r:id="rId6"/>
    <sheet name="TORO" sheetId="4" r:id="rId7"/>
  </sheets>
  <definedNames>
    <definedName name="_xlnm.Print_Area" localSheetId="4">Pack!$A$1:$N$12</definedName>
    <definedName name="_xlnm.Print_Area" localSheetId="3">Wrap!$A$1:$Q$22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7" l="1"/>
  <c r="M7" i="7"/>
  <c r="N7" i="7"/>
  <c r="K7" i="7"/>
  <c r="L7" i="6"/>
  <c r="K7" i="6"/>
  <c r="J7" i="6"/>
  <c r="G19" i="2"/>
  <c r="L13" i="2" l="1"/>
  <c r="K13" i="2"/>
  <c r="G12" i="2"/>
  <c r="M28" i="2" l="1"/>
  <c r="M32" i="2"/>
  <c r="L6" i="2"/>
  <c r="L24" i="2" l="1"/>
  <c r="G11" i="2" l="1"/>
  <c r="G10" i="2"/>
  <c r="J28" i="2"/>
  <c r="I12" i="2" l="1"/>
  <c r="I32" i="2" l="1"/>
  <c r="N11" i="2" l="1"/>
  <c r="N13" i="2" s="1"/>
  <c r="E40" i="2" s="1"/>
  <c r="N21" i="2"/>
  <c r="N36" i="2"/>
  <c r="D40" i="2"/>
  <c r="F28" i="2"/>
  <c r="F40" i="2" l="1"/>
  <c r="I19" i="2"/>
  <c r="D19" i="2"/>
  <c r="L15" i="2"/>
  <c r="J19" i="2" l="1"/>
  <c r="K19" i="2" s="1"/>
  <c r="F19" i="2"/>
  <c r="K21" i="2" l="1"/>
  <c r="L21" i="2" s="1"/>
  <c r="L19" i="2"/>
  <c r="M12" i="2"/>
  <c r="I11" i="2"/>
  <c r="M11" i="2" s="1"/>
  <c r="M19" i="2" l="1"/>
  <c r="I10" i="2"/>
  <c r="J32" i="2" l="1"/>
  <c r="K32" i="2" s="1"/>
  <c r="L32" i="2" s="1"/>
  <c r="I28" i="2" l="1"/>
  <c r="K28" i="2"/>
  <c r="L28" i="2" s="1"/>
  <c r="O9" i="4" l="1"/>
  <c r="G7" i="4"/>
  <c r="H7" i="4"/>
  <c r="G6" i="4"/>
  <c r="H6" i="4" s="1"/>
  <c r="L3" i="4"/>
  <c r="N3" i="4" s="1"/>
  <c r="P5" i="3"/>
  <c r="J11" i="3"/>
  <c r="G4" i="4"/>
  <c r="H4" i="4" s="1"/>
  <c r="G5" i="4"/>
  <c r="G3" i="4"/>
  <c r="D6" i="4"/>
  <c r="H5" i="4"/>
  <c r="D5" i="4"/>
  <c r="D4" i="4"/>
  <c r="H3" i="4"/>
  <c r="D3" i="4"/>
  <c r="G8" i="4" l="1"/>
  <c r="H8" i="4" s="1"/>
  <c r="N4" i="4" s="1"/>
  <c r="N5" i="4" l="1"/>
  <c r="N6" i="4" s="1"/>
  <c r="O6" i="4" l="1"/>
  <c r="O7" i="4"/>
  <c r="J4" i="3"/>
  <c r="P9" i="3" s="1"/>
  <c r="P8" i="3"/>
  <c r="P7" i="3"/>
  <c r="P11" i="3" l="1"/>
  <c r="P13" i="3" s="1"/>
  <c r="J5" i="3"/>
  <c r="K5" i="3" s="1"/>
  <c r="L5" i="3" s="1"/>
  <c r="M5" i="3" s="1"/>
  <c r="J6" i="3"/>
  <c r="K6" i="3" s="1"/>
  <c r="L6" i="3" s="1"/>
  <c r="M6" i="3" s="1"/>
  <c r="J7" i="3"/>
  <c r="K7" i="3" s="1"/>
  <c r="L7" i="3" s="1"/>
  <c r="M7" i="3" s="1"/>
  <c r="K4" i="3"/>
  <c r="L4" i="3" s="1"/>
  <c r="E5" i="3"/>
  <c r="F5" i="3" s="1"/>
  <c r="G5" i="3" s="1"/>
  <c r="H5" i="3" s="1"/>
  <c r="E6" i="3"/>
  <c r="F6" i="3" s="1"/>
  <c r="G6" i="3" s="1"/>
  <c r="H6" i="3" s="1"/>
  <c r="E7" i="3"/>
  <c r="F7" i="3" s="1"/>
  <c r="G7" i="3" s="1"/>
  <c r="H7" i="3" s="1"/>
  <c r="E4" i="3"/>
  <c r="F4" i="3" s="1"/>
  <c r="G4" i="3" l="1"/>
  <c r="H4" i="3" s="1"/>
  <c r="J8" i="3"/>
  <c r="K8" i="3" s="1"/>
  <c r="L8" i="3" s="1"/>
  <c r="M8" i="3" s="1"/>
  <c r="J12" i="3"/>
  <c r="J14" i="3" s="1"/>
  <c r="J15" i="3" s="1"/>
  <c r="Q11" i="3"/>
  <c r="N4" i="3" s="1"/>
  <c r="M4" i="3"/>
  <c r="Q7" i="3"/>
  <c r="E36" i="2" l="1"/>
  <c r="F32" i="2"/>
  <c r="F36" i="2" l="1"/>
  <c r="F10" i="2" s="1"/>
  <c r="K10" i="2" s="1"/>
  <c r="M10" i="2"/>
  <c r="K30" i="2"/>
  <c r="K35" i="2"/>
  <c r="L35" i="2" s="1"/>
  <c r="L30" i="2" l="1"/>
  <c r="M21" i="2"/>
  <c r="L10" i="2"/>
  <c r="F12" i="2"/>
  <c r="K12" i="2" s="1"/>
  <c r="L12" i="2" s="1"/>
  <c r="F11" i="2"/>
  <c r="K11" i="2" s="1"/>
  <c r="L11" i="2" s="1"/>
  <c r="K36" i="2"/>
  <c r="M30" i="2" l="1"/>
  <c r="M35" i="2"/>
  <c r="M36" i="2" l="1"/>
  <c r="L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Factory_04</author>
  </authors>
  <commentList>
    <comment ref="F10" authorId="0" shapeId="0" xr:uid="{D794B24B-BB4A-4E43-BC2F-69A7423FAD11}">
      <text>
        <r>
          <rPr>
            <b/>
            <sz val="9"/>
            <color indexed="81"/>
            <rFont val="Tahoma"/>
          </rPr>
          <t xml:space="preserve">1.12 = Yield
</t>
        </r>
      </text>
    </comment>
  </commentList>
</comments>
</file>

<file path=xl/sharedStrings.xml><?xml version="1.0" encoding="utf-8"?>
<sst xmlns="http://schemas.openxmlformats.org/spreadsheetml/2006/main" count="259" uniqueCount="117">
  <si>
    <t>United Foods</t>
  </si>
  <si>
    <t>Utilization =</t>
  </si>
  <si>
    <t>Hrs/year</t>
  </si>
  <si>
    <t>Plant :  โรงงานบางพลี</t>
  </si>
  <si>
    <t>Machines /</t>
  </si>
  <si>
    <t>Products</t>
  </si>
  <si>
    <t>Target</t>
  </si>
  <si>
    <t>Demand per month
(Peak)</t>
  </si>
  <si>
    <t>Speed</t>
  </si>
  <si>
    <t xml:space="preserve">% </t>
  </si>
  <si>
    <t>Output</t>
  </si>
  <si>
    <t>Production</t>
  </si>
  <si>
    <t>Utilization</t>
  </si>
  <si>
    <t>100% Utilization</t>
  </si>
  <si>
    <t>Man</t>
  </si>
  <si>
    <t>Lines</t>
  </si>
  <si>
    <t>Wt. (gm)</t>
  </si>
  <si>
    <t>(Pcs/Case)</t>
  </si>
  <si>
    <t xml:space="preserve">Case </t>
  </si>
  <si>
    <t xml:space="preserve">Ton </t>
  </si>
  <si>
    <t>(pcs/min)</t>
  </si>
  <si>
    <t>OEE</t>
  </si>
  <si>
    <t>Ton/Hr</t>
  </si>
  <si>
    <t>Case/Hr</t>
  </si>
  <si>
    <t>Hours</t>
  </si>
  <si>
    <t>%</t>
  </si>
  <si>
    <t>(Max Cap -Case)</t>
  </si>
  <si>
    <t>(Shift)</t>
  </si>
  <si>
    <t>(Month)</t>
  </si>
  <si>
    <t>(kg/min)</t>
  </si>
  <si>
    <t>Tons/Hr</t>
  </si>
  <si>
    <t>(Max Cap -Tons)</t>
  </si>
  <si>
    <t>TORO Carachess</t>
  </si>
  <si>
    <t>TORO Super Caramel</t>
  </si>
  <si>
    <t>TORO Almond</t>
  </si>
  <si>
    <t>อัตรา
อนุมัติ</t>
  </si>
  <si>
    <t>อัตรา
ปัจจุบัน</t>
  </si>
  <si>
    <t>อัตรา
ที่ต้องการ</t>
  </si>
  <si>
    <t>อัตตรา
ที่ขาด</t>
  </si>
  <si>
    <t>2019 Production Capacity and Utilization</t>
  </si>
  <si>
    <t>Man /</t>
  </si>
  <si>
    <t xml:space="preserve"> OEE</t>
  </si>
  <si>
    <t>Shift</t>
  </si>
  <si>
    <t>Fry</t>
  </si>
  <si>
    <t>Speed kg/min</t>
  </si>
  <si>
    <t>บิ๊กนอยส์</t>
  </si>
  <si>
    <t>ข้าวเกรียบหลอด</t>
  </si>
  <si>
    <t>ยูนิทิวบ์</t>
  </si>
  <si>
    <t>ข้าวเกรียบกุ้ง</t>
  </si>
  <si>
    <t>*1.33</t>
  </si>
  <si>
    <t>Product</t>
  </si>
  <si>
    <t>Speed kg/hr</t>
  </si>
  <si>
    <t>Packing</t>
  </si>
  <si>
    <t>Bulk</t>
  </si>
  <si>
    <t xml:space="preserve">    Target     Wt.(gm)</t>
  </si>
  <si>
    <t>Speed pcs/min</t>
  </si>
  <si>
    <t>LINE Balance</t>
  </si>
  <si>
    <t>ปกติ kg/hr</t>
  </si>
  <si>
    <t>พักเที่ยงkg/1 hr</t>
  </si>
  <si>
    <t>พักเบรคkg/20 min</t>
  </si>
  <si>
    <t>Average</t>
  </si>
  <si>
    <t>TORO Butter</t>
  </si>
  <si>
    <t>POP</t>
  </si>
  <si>
    <t>Total</t>
  </si>
  <si>
    <t>เริ่ม</t>
  </si>
  <si>
    <t>หยุด</t>
  </si>
  <si>
    <t>เวลาทั้งหมด</t>
  </si>
  <si>
    <t>พักเบรค</t>
  </si>
  <si>
    <t>Ishida 1</t>
  </si>
  <si>
    <t>Ishida 2</t>
  </si>
  <si>
    <t>Ishida 3</t>
  </si>
  <si>
    <t>Ishida 4</t>
  </si>
  <si>
    <t>Kawa 5</t>
  </si>
  <si>
    <t xml:space="preserve">วัน </t>
  </si>
  <si>
    <t>Pellet</t>
  </si>
  <si>
    <t>-</t>
  </si>
  <si>
    <t>Speed kg/HR</t>
  </si>
  <si>
    <t>10 Hr.</t>
  </si>
  <si>
    <t>10 Hr/Case</t>
  </si>
  <si>
    <t>Date : 21.01.2020</t>
  </si>
  <si>
    <t>Site    :   Yoyo</t>
  </si>
  <si>
    <t>FW7#2</t>
  </si>
  <si>
    <t>Yoyo5B</t>
  </si>
  <si>
    <t>Kawa</t>
  </si>
  <si>
    <t>สรุป Yoyo 20 baht</t>
  </si>
  <si>
    <t>Rui #1</t>
  </si>
  <si>
    <t>Fw7#3</t>
  </si>
  <si>
    <t>Yoyo 20B</t>
  </si>
  <si>
    <t>สรุป Yoyo 5 baht</t>
  </si>
  <si>
    <t>Chocotech</t>
  </si>
  <si>
    <t>สรุปแผนกYoyo ส่วน Pack</t>
  </si>
  <si>
    <t>WDS</t>
  </si>
  <si>
    <t>Dry</t>
  </si>
  <si>
    <t>Hrs/Month</t>
  </si>
  <si>
    <t>สรุป Yoyo ห่อเม็ด</t>
  </si>
  <si>
    <t>Yoyo ห่อเม็ด</t>
  </si>
  <si>
    <t>WARP</t>
  </si>
  <si>
    <t>COOKER&amp;DEPOSIT</t>
  </si>
  <si>
    <t>PACK</t>
  </si>
  <si>
    <t xml:space="preserve">หยอด 5 วัน/สัปดาห์ </t>
  </si>
  <si>
    <t>พนักงานแผนก Yoyo</t>
  </si>
  <si>
    <t>FW3400 X  6 m/c</t>
  </si>
  <si>
    <t>คิดยังไง</t>
  </si>
  <si>
    <t>WRAP</t>
  </si>
  <si>
    <t>Rui #1, FW7#2, Fw7#3</t>
  </si>
  <si>
    <t>สรุป Yoyo หยอด</t>
  </si>
  <si>
    <t>FW3400 No 1 - 6</t>
  </si>
  <si>
    <t>kg</t>
  </si>
  <si>
    <t>Weight/Pallet</t>
  </si>
  <si>
    <t>Tray/Pallet</t>
  </si>
  <si>
    <t>kg/Tray</t>
  </si>
  <si>
    <t>Pallet in Dry</t>
  </si>
  <si>
    <t>(12 hrs/day, 24 days)</t>
  </si>
  <si>
    <t>P</t>
  </si>
  <si>
    <t>62,42</t>
  </si>
  <si>
    <t>62,43</t>
  </si>
  <si>
    <t>81,51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</si>
</sst>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i/>
      <sz val="11"/>
      <color rgb="FF0000CC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BrowalliaUPC"/>
      <family val="2"/>
    </font>
    <font>
      <b/>
      <sz val="11"/>
      <color theme="1"/>
      <name val="BrowalliaUPC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4" fillId="0" borderId="1" xfId="0" applyNumberFormat="1" applyFont="1" applyBorder="1"/>
    <xf numFmtId="3" fontId="9" fillId="0" borderId="2" xfId="0" applyNumberFormat="1" applyFont="1" applyBorder="1"/>
    <xf numFmtId="0" fontId="9" fillId="0" borderId="3" xfId="0" applyFont="1" applyBorder="1"/>
    <xf numFmtId="2" fontId="4" fillId="0" borderId="4" xfId="0" quotePrefix="1" applyNumberFormat="1" applyFont="1" applyBorder="1"/>
    <xf numFmtId="0" fontId="4" fillId="0" borderId="5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3" fontId="1" fillId="0" borderId="20" xfId="1" applyBorder="1"/>
    <xf numFmtId="0" fontId="0" fillId="0" borderId="2" xfId="0" applyBorder="1"/>
    <xf numFmtId="0" fontId="0" fillId="0" borderId="20" xfId="0" applyBorder="1" applyAlignment="1">
      <alignment horizontal="center"/>
    </xf>
    <xf numFmtId="43" fontId="1" fillId="0" borderId="2" xfId="1" applyBorder="1"/>
    <xf numFmtId="10" fontId="0" fillId="0" borderId="20" xfId="0" applyNumberFormat="1" applyBorder="1"/>
    <xf numFmtId="0" fontId="0" fillId="0" borderId="21" xfId="0" applyBorder="1" applyAlignment="1">
      <alignment horizontal="center" vertical="center"/>
    </xf>
    <xf numFmtId="3" fontId="0" fillId="0" borderId="0" xfId="0" applyNumberFormat="1"/>
    <xf numFmtId="0" fontId="0" fillId="0" borderId="22" xfId="0" applyBorder="1"/>
    <xf numFmtId="165" fontId="1" fillId="0" borderId="22" xfId="1" applyNumberFormat="1" applyBorder="1"/>
    <xf numFmtId="0" fontId="0" fillId="0" borderId="22" xfId="0" applyBorder="1" applyAlignment="1">
      <alignment horizontal="center"/>
    </xf>
    <xf numFmtId="43" fontId="1" fillId="0" borderId="0" xfId="1"/>
    <xf numFmtId="10" fontId="0" fillId="0" borderId="22" xfId="0" applyNumberFormat="1" applyBorder="1"/>
    <xf numFmtId="164" fontId="0" fillId="0" borderId="5" xfId="1" applyNumberFormat="1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0" borderId="24" xfId="0" applyFont="1" applyBorder="1"/>
    <xf numFmtId="165" fontId="1" fillId="0" borderId="20" xfId="1" applyNumberFormat="1" applyBorder="1"/>
    <xf numFmtId="0" fontId="2" fillId="0" borderId="29" xfId="0" applyFont="1" applyBorder="1"/>
    <xf numFmtId="2" fontId="0" fillId="0" borderId="0" xfId="0" applyNumberFormat="1"/>
    <xf numFmtId="0" fontId="11" fillId="0" borderId="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0" fontId="2" fillId="0" borderId="0" xfId="0" applyNumberFormat="1" applyFont="1"/>
    <xf numFmtId="0" fontId="13" fillId="0" borderId="0" xfId="0" applyFont="1"/>
    <xf numFmtId="0" fontId="15" fillId="0" borderId="26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43" fontId="1" fillId="0" borderId="20" xfId="1" applyBorder="1" applyAlignment="1">
      <alignment horizontal="center"/>
    </xf>
    <xf numFmtId="2" fontId="0" fillId="0" borderId="20" xfId="0" applyNumberFormat="1" applyBorder="1"/>
    <xf numFmtId="1" fontId="1" fillId="0" borderId="20" xfId="1" applyNumberFormat="1" applyBorder="1"/>
    <xf numFmtId="164" fontId="0" fillId="0" borderId="22" xfId="1" applyNumberFormat="1" applyFont="1" applyBorder="1" applyAlignment="1">
      <alignment horizontal="center"/>
    </xf>
    <xf numFmtId="43" fontId="1" fillId="0" borderId="22" xfId="1" applyBorder="1" applyAlignment="1">
      <alignment horizontal="center"/>
    </xf>
    <xf numFmtId="2" fontId="0" fillId="0" borderId="22" xfId="0" applyNumberFormat="1" applyBorder="1"/>
    <xf numFmtId="1" fontId="1" fillId="0" borderId="22" xfId="1" applyNumberFormat="1" applyBorder="1"/>
    <xf numFmtId="0" fontId="0" fillId="0" borderId="25" xfId="0" applyBorder="1"/>
    <xf numFmtId="0" fontId="0" fillId="0" borderId="25" xfId="0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43" fontId="1" fillId="0" borderId="25" xfId="1" applyBorder="1" applyAlignment="1">
      <alignment horizontal="center"/>
    </xf>
    <xf numFmtId="2" fontId="0" fillId="0" borderId="25" xfId="0" applyNumberFormat="1" applyBorder="1"/>
    <xf numFmtId="1" fontId="1" fillId="0" borderId="27" xfId="1" applyNumberFormat="1" applyBorder="1"/>
    <xf numFmtId="43" fontId="12" fillId="2" borderId="26" xfId="1" applyFont="1" applyFill="1" applyBorder="1"/>
    <xf numFmtId="10" fontId="12" fillId="2" borderId="26" xfId="0" applyNumberFormat="1" applyFont="1" applyFill="1" applyBorder="1"/>
    <xf numFmtId="164" fontId="0" fillId="0" borderId="25" xfId="1" applyNumberFormat="1" applyFont="1" applyBorder="1"/>
    <xf numFmtId="0" fontId="0" fillId="0" borderId="24" xfId="0" applyBorder="1"/>
    <xf numFmtId="2" fontId="13" fillId="0" borderId="25" xfId="0" applyNumberFormat="1" applyFont="1" applyBorder="1"/>
    <xf numFmtId="165" fontId="1" fillId="0" borderId="27" xfId="1" applyNumberFormat="1" applyBorder="1"/>
    <xf numFmtId="164" fontId="0" fillId="0" borderId="3" xfId="1" applyNumberFormat="1" applyFont="1" applyBorder="1" applyAlignment="1">
      <alignment horizontal="center"/>
    </xf>
    <xf numFmtId="0" fontId="2" fillId="0" borderId="28" xfId="0" applyFont="1" applyBorder="1"/>
    <xf numFmtId="164" fontId="0" fillId="0" borderId="2" xfId="1" applyNumberFormat="1" applyFont="1" applyBorder="1"/>
    <xf numFmtId="2" fontId="13" fillId="0" borderId="2" xfId="0" applyNumberFormat="1" applyFont="1" applyBorder="1"/>
    <xf numFmtId="165" fontId="1" fillId="0" borderId="3" xfId="1" applyNumberFormat="1" applyBorder="1"/>
    <xf numFmtId="43" fontId="2" fillId="2" borderId="20" xfId="1" applyFont="1" applyFill="1" applyBorder="1"/>
    <xf numFmtId="10" fontId="2" fillId="2" borderId="20" xfId="0" applyNumberFormat="1" applyFont="1" applyFill="1" applyBorder="1"/>
    <xf numFmtId="0" fontId="17" fillId="2" borderId="34" xfId="0" applyFont="1" applyFill="1" applyBorder="1" applyAlignment="1">
      <alignment horizontal="left" vertical="center"/>
    </xf>
    <xf numFmtId="0" fontId="18" fillId="2" borderId="35" xfId="0" applyFont="1" applyFill="1" applyBorder="1" applyAlignment="1">
      <alignment horizontal="left" vertical="center"/>
    </xf>
    <xf numFmtId="43" fontId="18" fillId="2" borderId="37" xfId="1" applyFont="1" applyFill="1" applyBorder="1" applyAlignment="1">
      <alignment horizontal="left" vertical="center"/>
    </xf>
    <xf numFmtId="43" fontId="18" fillId="2" borderId="39" xfId="1" applyFont="1" applyFill="1" applyBorder="1" applyAlignment="1">
      <alignment horizontal="left" vertical="center"/>
    </xf>
    <xf numFmtId="4" fontId="0" fillId="0" borderId="0" xfId="0" applyNumberFormat="1"/>
    <xf numFmtId="3" fontId="0" fillId="0" borderId="0" xfId="0" applyNumberFormat="1" applyAlignment="1">
      <alignment horizontal="center"/>
    </xf>
    <xf numFmtId="0" fontId="19" fillId="0" borderId="26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26" xfId="0" applyFont="1" applyBorder="1"/>
    <xf numFmtId="0" fontId="21" fillId="0" borderId="26" xfId="0" applyFont="1" applyBorder="1"/>
    <xf numFmtId="0" fontId="20" fillId="3" borderId="26" xfId="0" applyFont="1" applyFill="1" applyBorder="1"/>
    <xf numFmtId="20" fontId="20" fillId="0" borderId="0" xfId="0" applyNumberFormat="1" applyFont="1"/>
    <xf numFmtId="43" fontId="20" fillId="0" borderId="0" xfId="1" applyFont="1"/>
    <xf numFmtId="43" fontId="20" fillId="0" borderId="0" xfId="0" applyNumberFormat="1" applyFont="1"/>
    <xf numFmtId="43" fontId="23" fillId="0" borderId="0" xfId="0" applyNumberFormat="1" applyFont="1"/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0" fontId="17" fillId="2" borderId="39" xfId="0" applyNumberFormat="1" applyFont="1" applyFill="1" applyBorder="1" applyAlignment="1">
      <alignment horizontal="right" vertical="center"/>
    </xf>
    <xf numFmtId="166" fontId="0" fillId="0" borderId="0" xfId="0" applyNumberFormat="1"/>
    <xf numFmtId="0" fontId="19" fillId="0" borderId="26" xfId="0" applyFont="1" applyBorder="1" applyAlignment="1">
      <alignment horizontal="center" vertical="center"/>
    </xf>
    <xf numFmtId="0" fontId="19" fillId="0" borderId="26" xfId="0" applyFont="1" applyBorder="1" applyAlignment="1">
      <alignment vertical="center"/>
    </xf>
    <xf numFmtId="20" fontId="0" fillId="0" borderId="0" xfId="0" applyNumberFormat="1"/>
    <xf numFmtId="0" fontId="20" fillId="0" borderId="26" xfId="0" applyFont="1" applyFill="1" applyBorder="1" applyAlignment="1">
      <alignment horizontal="center" vertical="center" wrapText="1"/>
    </xf>
    <xf numFmtId="20" fontId="0" fillId="0" borderId="26" xfId="0" applyNumberFormat="1" applyBorder="1"/>
    <xf numFmtId="0" fontId="2" fillId="0" borderId="0" xfId="0" applyFont="1"/>
    <xf numFmtId="0" fontId="20" fillId="0" borderId="20" xfId="0" applyFont="1" applyFill="1" applyBorder="1"/>
    <xf numFmtId="0" fontId="19" fillId="0" borderId="2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0" fontId="2" fillId="0" borderId="20" xfId="0" applyNumberFormat="1" applyFont="1" applyBorder="1"/>
    <xf numFmtId="2" fontId="4" fillId="0" borderId="0" xfId="0" quotePrefix="1" applyNumberFormat="1" applyFont="1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/>
    </xf>
    <xf numFmtId="164" fontId="2" fillId="2" borderId="39" xfId="0" applyNumberFormat="1" applyFont="1" applyFill="1" applyBorder="1" applyAlignment="1">
      <alignment horizontal="left" vertical="center"/>
    </xf>
    <xf numFmtId="43" fontId="2" fillId="2" borderId="37" xfId="1" applyFont="1" applyFill="1" applyBorder="1" applyAlignment="1">
      <alignment horizontal="left" vertical="center"/>
    </xf>
    <xf numFmtId="164" fontId="0" fillId="0" borderId="1" xfId="1" applyNumberFormat="1" applyFont="1" applyBorder="1"/>
    <xf numFmtId="164" fontId="0" fillId="0" borderId="0" xfId="1" applyNumberFormat="1" applyFont="1" applyBorder="1"/>
    <xf numFmtId="0" fontId="18" fillId="2" borderId="38" xfId="0" applyFont="1" applyFill="1" applyBorder="1" applyAlignment="1">
      <alignment horizontal="center" vertical="center"/>
    </xf>
    <xf numFmtId="164" fontId="0" fillId="0" borderId="4" xfId="1" applyNumberFormat="1" applyFont="1" applyBorder="1"/>
    <xf numFmtId="164" fontId="0" fillId="0" borderId="1" xfId="0" applyNumberFormat="1" applyBorder="1"/>
    <xf numFmtId="164" fontId="17" fillId="2" borderId="41" xfId="1" applyNumberFormat="1" applyFont="1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25" fillId="0" borderId="28" xfId="0" applyFont="1" applyBorder="1"/>
    <xf numFmtId="0" fontId="25" fillId="0" borderId="19" xfId="0" applyFont="1" applyBorder="1"/>
    <xf numFmtId="0" fontId="4" fillId="0" borderId="16" xfId="0" applyFont="1" applyBorder="1"/>
    <xf numFmtId="0" fontId="25" fillId="0" borderId="43" xfId="0" applyFont="1" applyBorder="1" applyAlignment="1">
      <alignment vertical="center"/>
    </xf>
    <xf numFmtId="0" fontId="0" fillId="0" borderId="44" xfId="0" applyBorder="1" applyAlignment="1">
      <alignment vertical="center"/>
    </xf>
    <xf numFmtId="43" fontId="1" fillId="0" borderId="31" xfId="1" applyBorder="1"/>
    <xf numFmtId="43" fontId="1" fillId="0" borderId="31" xfId="1" applyBorder="1" applyAlignment="1">
      <alignment horizontal="center"/>
    </xf>
    <xf numFmtId="0" fontId="0" fillId="0" borderId="31" xfId="0" applyBorder="1" applyAlignment="1">
      <alignment horizontal="center"/>
    </xf>
    <xf numFmtId="10" fontId="13" fillId="4" borderId="31" xfId="0" applyNumberFormat="1" applyFont="1" applyFill="1" applyBorder="1"/>
    <xf numFmtId="0" fontId="18" fillId="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3" fontId="1" fillId="0" borderId="0" xfId="1" applyBorder="1"/>
    <xf numFmtId="0" fontId="0" fillId="0" borderId="30" xfId="0" applyBorder="1"/>
    <xf numFmtId="0" fontId="0" fillId="0" borderId="30" xfId="0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43" fontId="1" fillId="0" borderId="30" xfId="1" applyBorder="1" applyAlignment="1">
      <alignment horizontal="center"/>
    </xf>
    <xf numFmtId="2" fontId="0" fillId="0" borderId="30" xfId="0" applyNumberFormat="1" applyBorder="1"/>
    <xf numFmtId="1" fontId="1" fillId="0" borderId="32" xfId="1" applyNumberFormat="1" applyBorder="1"/>
    <xf numFmtId="43" fontId="12" fillId="2" borderId="31" xfId="1" applyFont="1" applyFill="1" applyBorder="1"/>
    <xf numFmtId="10" fontId="12" fillId="2" borderId="31" xfId="0" applyNumberFormat="1" applyFont="1" applyFill="1" applyBorder="1"/>
    <xf numFmtId="164" fontId="0" fillId="0" borderId="30" xfId="1" applyNumberFormat="1" applyFont="1" applyBorder="1"/>
    <xf numFmtId="2" fontId="0" fillId="0" borderId="0" xfId="0" applyNumberFormat="1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6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1" applyNumberFormat="1" applyFont="1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0" borderId="26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/>
    </xf>
    <xf numFmtId="0" fontId="20" fillId="3" borderId="22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pageSetUpPr fitToPage="1"/>
  </sheetPr>
  <dimension ref="A1:Y48"/>
  <sheetViews>
    <sheetView tabSelected="1" zoomScaleNormal="100" workbookViewId="0">
      <selection activeCell="A5" sqref="A5"/>
    </sheetView>
  </sheetViews>
  <sheetFormatPr defaultRowHeight="14.3" x14ac:dyDescent="0.25"/>
  <cols>
    <col min="1" max="1" width="14.125" customWidth="1"/>
    <col min="2" max="2" width="49.375" bestFit="1" customWidth="1"/>
    <col min="3" max="3" width="8.375" bestFit="1" customWidth="1"/>
    <col min="4" max="4" width="9.625" bestFit="1" customWidth="1"/>
    <col min="5" max="5" width="9.125" customWidth="1"/>
    <col min="6" max="6" width="8.125" bestFit="1" customWidth="1"/>
    <col min="7" max="7" width="10.625" bestFit="1" customWidth="1"/>
    <col min="8" max="8" width="5.375" bestFit="1" customWidth="1"/>
    <col min="9" max="9" width="7.875" bestFit="1" customWidth="1"/>
    <col min="10" max="10" width="8.75" bestFit="1" customWidth="1"/>
    <col min="11" max="11" width="10.375" style="43" customWidth="1"/>
    <col min="12" max="12" width="11" bestFit="1" customWidth="1"/>
    <col min="13" max="13" width="16.375" bestFit="1" customWidth="1"/>
    <col min="14" max="14" width="7.125" bestFit="1" customWidth="1"/>
    <col min="23" max="23" width="15.75" bestFit="1" customWidth="1"/>
  </cols>
  <sheetData>
    <row r="1" spans="1:16" ht="21.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2"/>
      <c r="M1" s="4" t="s">
        <v>79</v>
      </c>
    </row>
    <row r="2" spans="1:16" ht="18.7" x14ac:dyDescent="0.3">
      <c r="A2" s="5" t="s">
        <v>39</v>
      </c>
      <c r="B2" s="2"/>
      <c r="C2" s="2"/>
      <c r="D2" s="2"/>
      <c r="E2" s="2"/>
      <c r="F2" s="2"/>
      <c r="G2" s="2"/>
      <c r="H2" s="2"/>
      <c r="I2" s="2"/>
      <c r="J2" s="2"/>
      <c r="K2" s="3"/>
      <c r="L2" s="2"/>
      <c r="M2" s="2"/>
    </row>
    <row r="3" spans="1:16" ht="15.8" x14ac:dyDescent="0.25">
      <c r="A3" s="6" t="s">
        <v>80</v>
      </c>
      <c r="B3" s="7"/>
      <c r="C3" s="2"/>
      <c r="D3" s="2"/>
      <c r="E3" s="2"/>
      <c r="F3" s="2"/>
      <c r="G3" s="2"/>
      <c r="H3" s="2"/>
      <c r="I3" s="2"/>
      <c r="J3" s="2"/>
    </row>
    <row r="4" spans="1:16" ht="16.3" x14ac:dyDescent="0.3">
      <c r="A4" s="6" t="s">
        <v>3</v>
      </c>
      <c r="B4" s="7"/>
      <c r="C4" s="2"/>
      <c r="D4" s="2"/>
      <c r="E4" s="2"/>
      <c r="F4" s="2"/>
      <c r="G4" s="2"/>
      <c r="H4" s="2"/>
      <c r="I4" s="2"/>
      <c r="J4" s="2"/>
    </row>
    <row r="5" spans="1:16" ht="15.8" x14ac:dyDescent="0.25">
      <c r="A5" s="6"/>
      <c r="B5" s="7"/>
      <c r="C5" s="2"/>
      <c r="D5" s="2"/>
      <c r="E5" s="2"/>
      <c r="F5" s="2"/>
      <c r="G5" s="2"/>
      <c r="H5" s="2"/>
      <c r="I5" s="2"/>
      <c r="J5" s="2"/>
    </row>
    <row r="6" spans="1:16" ht="16.3" x14ac:dyDescent="0.3">
      <c r="A6" s="6" t="s">
        <v>97</v>
      </c>
      <c r="B6" s="7"/>
      <c r="C6" s="2"/>
      <c r="D6" s="2"/>
      <c r="F6" s="2"/>
      <c r="G6" s="2"/>
      <c r="H6" s="2" t="s">
        <v>99</v>
      </c>
      <c r="I6" s="2"/>
      <c r="J6" s="2"/>
      <c r="K6" s="8" t="s">
        <v>1</v>
      </c>
      <c r="L6" s="9">
        <f>12*24</f>
        <v>288</v>
      </c>
      <c r="M6" s="10" t="s">
        <v>93</v>
      </c>
    </row>
    <row r="7" spans="1:16" ht="16.5" thickBot="1" x14ac:dyDescent="0.3">
      <c r="A7" s="6"/>
      <c r="B7" s="7"/>
      <c r="C7" s="2"/>
      <c r="D7" s="2"/>
      <c r="E7" s="2"/>
      <c r="F7" s="2"/>
      <c r="G7" s="2"/>
      <c r="H7" s="2"/>
      <c r="I7" s="2"/>
      <c r="J7" s="2"/>
      <c r="K7" s="11" t="s">
        <v>112</v>
      </c>
      <c r="L7" s="2"/>
      <c r="M7" s="12"/>
    </row>
    <row r="8" spans="1:16" ht="14.95" x14ac:dyDescent="0.25">
      <c r="A8" s="13" t="s">
        <v>4</v>
      </c>
      <c r="B8" s="114" t="s">
        <v>5</v>
      </c>
      <c r="C8" s="15"/>
      <c r="D8" s="15"/>
      <c r="E8" s="115"/>
      <c r="F8" s="44" t="s">
        <v>19</v>
      </c>
      <c r="G8" s="15" t="s">
        <v>8</v>
      </c>
      <c r="H8" s="14" t="s">
        <v>25</v>
      </c>
      <c r="I8" s="166" t="s">
        <v>10</v>
      </c>
      <c r="J8" s="167"/>
      <c r="K8" s="16" t="s">
        <v>11</v>
      </c>
      <c r="L8" s="14" t="s">
        <v>12</v>
      </c>
      <c r="M8" s="115" t="s">
        <v>13</v>
      </c>
      <c r="N8" s="17" t="s">
        <v>40</v>
      </c>
    </row>
    <row r="9" spans="1:16" ht="14.95" x14ac:dyDescent="0.25">
      <c r="A9" s="19" t="s">
        <v>15</v>
      </c>
      <c r="B9" s="116"/>
      <c r="C9" s="45"/>
      <c r="D9" s="45"/>
      <c r="E9" s="117"/>
      <c r="F9" s="22" t="s">
        <v>28</v>
      </c>
      <c r="G9" s="21" t="s">
        <v>29</v>
      </c>
      <c r="H9" s="20" t="s">
        <v>41</v>
      </c>
      <c r="I9" s="168" t="s">
        <v>30</v>
      </c>
      <c r="J9" s="169"/>
      <c r="K9" s="23" t="s">
        <v>24</v>
      </c>
      <c r="L9" s="20" t="s">
        <v>25</v>
      </c>
      <c r="M9" s="117" t="s">
        <v>31</v>
      </c>
      <c r="N9" s="52" t="s">
        <v>42</v>
      </c>
    </row>
    <row r="10" spans="1:16" ht="14.95" x14ac:dyDescent="0.25">
      <c r="A10" s="131" t="s">
        <v>89</v>
      </c>
      <c r="B10" s="182"/>
      <c r="C10" s="183"/>
      <c r="D10" s="183"/>
      <c r="E10" s="184"/>
      <c r="F10" s="26">
        <f>F36*1.12</f>
        <v>78.650880000000015</v>
      </c>
      <c r="G10" s="55">
        <f>2100/60</f>
        <v>35</v>
      </c>
      <c r="H10" s="118">
        <v>60</v>
      </c>
      <c r="I10" s="170">
        <f>G10*60*H10/100/1000</f>
        <v>1.26</v>
      </c>
      <c r="J10" s="170"/>
      <c r="K10" s="56">
        <f>F10/I10</f>
        <v>62.421333333333344</v>
      </c>
      <c r="L10" s="112">
        <f>K10/L$6</f>
        <v>0.21674074074074079</v>
      </c>
      <c r="M10" s="56">
        <f>I10*L6</f>
        <v>362.88</v>
      </c>
      <c r="N10" s="31">
        <v>5</v>
      </c>
    </row>
    <row r="11" spans="1:16" ht="14.95" x14ac:dyDescent="0.25">
      <c r="A11" s="131" t="s">
        <v>91</v>
      </c>
      <c r="B11" s="182"/>
      <c r="C11" s="183"/>
      <c r="D11" s="183"/>
      <c r="E11" s="184"/>
      <c r="F11" s="26">
        <f>F36*1.12</f>
        <v>78.650880000000015</v>
      </c>
      <c r="G11" s="55">
        <f>2100/60</f>
        <v>35</v>
      </c>
      <c r="H11" s="118">
        <v>60</v>
      </c>
      <c r="I11" s="170">
        <f>G11*60*H11/100/1000</f>
        <v>1.26</v>
      </c>
      <c r="J11" s="170"/>
      <c r="K11" s="56">
        <f>F11/I11</f>
        <v>62.421333333333344</v>
      </c>
      <c r="L11" s="112">
        <f>K11/L$6</f>
        <v>0.21674074074074079</v>
      </c>
      <c r="M11" s="56">
        <f>I11*L6</f>
        <v>362.88</v>
      </c>
      <c r="N11" s="31">
        <f>9+6</f>
        <v>15</v>
      </c>
    </row>
    <row r="12" spans="1:16" x14ac:dyDescent="0.25">
      <c r="A12" s="131" t="s">
        <v>92</v>
      </c>
      <c r="B12" s="182"/>
      <c r="C12" s="183"/>
      <c r="D12" s="183"/>
      <c r="E12" s="184"/>
      <c r="F12" s="26">
        <f>F36*1.12</f>
        <v>78.650880000000015</v>
      </c>
      <c r="G12" s="55">
        <f>(20*338*5.18)/1000</f>
        <v>35.016799999999996</v>
      </c>
      <c r="H12" s="118">
        <v>100</v>
      </c>
      <c r="I12" s="170">
        <f>G12*60*H12/100/1000</f>
        <v>2.1010079999999998</v>
      </c>
      <c r="J12" s="170"/>
      <c r="K12" s="56">
        <f>F12/I12</f>
        <v>37.434831280985136</v>
      </c>
      <c r="L12" s="112">
        <f>K12/L$6</f>
        <v>0.12998205305897617</v>
      </c>
      <c r="M12" s="56">
        <f>I12*L6</f>
        <v>605.09030399999995</v>
      </c>
      <c r="N12" s="31">
        <v>7</v>
      </c>
      <c r="P12" t="s">
        <v>102</v>
      </c>
    </row>
    <row r="13" spans="1:16" ht="17" thickBot="1" x14ac:dyDescent="0.45">
      <c r="A13" s="132"/>
      <c r="B13" s="179"/>
      <c r="C13" s="180"/>
      <c r="D13" s="180"/>
      <c r="E13" s="181"/>
      <c r="F13" s="133"/>
      <c r="G13" s="134"/>
      <c r="H13" s="135"/>
      <c r="I13" s="171"/>
      <c r="J13" s="172"/>
      <c r="K13" s="146">
        <f>SUM(K11:K12)</f>
        <v>99.856164614318487</v>
      </c>
      <c r="L13" s="136">
        <f>K13/L6</f>
        <v>0.34672279379971699</v>
      </c>
      <c r="M13" s="148"/>
      <c r="N13" s="137">
        <f>SUM(N10:N12)</f>
        <v>27</v>
      </c>
    </row>
    <row r="14" spans="1:16" ht="15.8" x14ac:dyDescent="0.25">
      <c r="A14" s="6"/>
      <c r="B14" s="7"/>
      <c r="C14" s="2"/>
      <c r="D14" s="2"/>
      <c r="E14" s="2"/>
      <c r="F14" s="2"/>
      <c r="G14" s="2"/>
      <c r="H14" s="2"/>
      <c r="I14" s="2"/>
      <c r="J14" s="2"/>
      <c r="K14" s="113"/>
      <c r="L14" s="2"/>
      <c r="M14" s="130"/>
    </row>
    <row r="15" spans="1:16" ht="15.8" x14ac:dyDescent="0.25">
      <c r="A15" s="6"/>
      <c r="B15" s="7"/>
      <c r="C15" s="2"/>
      <c r="D15" s="2"/>
      <c r="E15" s="2"/>
      <c r="F15" s="2"/>
      <c r="G15" s="2"/>
      <c r="H15" s="2"/>
      <c r="I15" s="2"/>
      <c r="J15" s="2"/>
      <c r="K15" s="8" t="s">
        <v>1</v>
      </c>
      <c r="L15" s="9">
        <f>12*24</f>
        <v>288</v>
      </c>
      <c r="M15" s="10" t="s">
        <v>2</v>
      </c>
    </row>
    <row r="16" spans="1:16" ht="14.95" customHeight="1" thickBot="1" x14ac:dyDescent="0.35">
      <c r="A16" s="6" t="s">
        <v>96</v>
      </c>
      <c r="B16" s="7"/>
      <c r="C16" s="2"/>
      <c r="D16" s="2"/>
      <c r="E16" s="2"/>
      <c r="F16" s="2"/>
      <c r="G16" s="2"/>
      <c r="H16" s="2"/>
      <c r="I16" s="2"/>
      <c r="J16" s="2"/>
      <c r="K16" s="11" t="s">
        <v>112</v>
      </c>
      <c r="L16" s="2"/>
      <c r="M16" s="12"/>
    </row>
    <row r="17" spans="1:25" ht="25.5" customHeight="1" x14ac:dyDescent="0.25">
      <c r="A17" s="13" t="s">
        <v>4</v>
      </c>
      <c r="B17" s="14" t="s">
        <v>5</v>
      </c>
      <c r="C17" s="14" t="s">
        <v>6</v>
      </c>
      <c r="D17" s="15" t="s">
        <v>6</v>
      </c>
      <c r="E17" s="175" t="s">
        <v>7</v>
      </c>
      <c r="F17" s="176"/>
      <c r="G17" s="15" t="s">
        <v>8</v>
      </c>
      <c r="H17" s="14" t="s">
        <v>9</v>
      </c>
      <c r="I17" s="177" t="s">
        <v>10</v>
      </c>
      <c r="J17" s="178"/>
      <c r="K17" s="16" t="s">
        <v>11</v>
      </c>
      <c r="L17" s="14" t="s">
        <v>12</v>
      </c>
      <c r="M17" s="15" t="s">
        <v>13</v>
      </c>
      <c r="N17" s="17" t="s">
        <v>14</v>
      </c>
    </row>
    <row r="18" spans="1:25" x14ac:dyDescent="0.25">
      <c r="A18" s="19" t="s">
        <v>15</v>
      </c>
      <c r="B18" s="20"/>
      <c r="C18" s="22" t="s">
        <v>16</v>
      </c>
      <c r="D18" s="21" t="s">
        <v>17</v>
      </c>
      <c r="E18" s="20" t="s">
        <v>18</v>
      </c>
      <c r="F18" s="20" t="s">
        <v>19</v>
      </c>
      <c r="G18" s="45" t="s">
        <v>20</v>
      </c>
      <c r="H18" s="20" t="s">
        <v>21</v>
      </c>
      <c r="I18" s="20" t="s">
        <v>22</v>
      </c>
      <c r="J18" s="20" t="s">
        <v>23</v>
      </c>
      <c r="K18" s="23" t="s">
        <v>24</v>
      </c>
      <c r="L18" s="20" t="s">
        <v>25</v>
      </c>
      <c r="M18" s="45" t="s">
        <v>26</v>
      </c>
      <c r="N18" s="52" t="s">
        <v>27</v>
      </c>
    </row>
    <row r="19" spans="1:25" ht="13.95" customHeight="1" x14ac:dyDescent="0.25">
      <c r="A19" s="129" t="s">
        <v>101</v>
      </c>
      <c r="B19" s="25" t="s">
        <v>95</v>
      </c>
      <c r="C19" s="35">
        <v>5</v>
      </c>
      <c r="D19" s="53">
        <f>144*4</f>
        <v>576</v>
      </c>
      <c r="E19" s="54">
        <v>31667</v>
      </c>
      <c r="F19" s="55">
        <f>((C19*D19/1000)*E19)/1000</f>
        <v>91.200959999999995</v>
      </c>
      <c r="G19" s="53">
        <f>370*5</f>
        <v>1850</v>
      </c>
      <c r="H19" s="28">
        <v>70</v>
      </c>
      <c r="I19" s="56">
        <f>(C19*G19*60/1000/1000)*H19%</f>
        <v>0.38850000000000001</v>
      </c>
      <c r="J19" s="57">
        <f t="shared" ref="J19" si="0">G19/D19*60*H19%</f>
        <v>134.89583333333331</v>
      </c>
      <c r="K19" s="29">
        <f>E19/J19</f>
        <v>234.75150579150582</v>
      </c>
      <c r="L19" s="30">
        <f>K19/L$15</f>
        <v>0.81510939510939517</v>
      </c>
      <c r="M19" s="165">
        <f>K19/K$21*L$6*J19</f>
        <v>38849.999999999993</v>
      </c>
      <c r="N19" s="31">
        <v>15</v>
      </c>
    </row>
    <row r="20" spans="1:25" ht="14.95" thickBot="1" x14ac:dyDescent="0.3">
      <c r="A20" s="24"/>
      <c r="B20" s="33"/>
      <c r="C20" s="35"/>
      <c r="D20" s="138"/>
      <c r="E20" s="58"/>
      <c r="F20" s="59"/>
      <c r="G20" s="138"/>
      <c r="H20" s="35"/>
      <c r="I20" s="60"/>
      <c r="J20" s="61"/>
      <c r="K20" s="139"/>
      <c r="L20" s="37"/>
      <c r="M20" s="122"/>
      <c r="N20" s="39"/>
    </row>
    <row r="21" spans="1:25" ht="17" thickBot="1" x14ac:dyDescent="0.45">
      <c r="A21" s="42" t="s">
        <v>94</v>
      </c>
      <c r="B21" s="140"/>
      <c r="C21" s="141"/>
      <c r="D21" s="141"/>
      <c r="E21" s="142"/>
      <c r="F21" s="143"/>
      <c r="G21" s="141"/>
      <c r="H21" s="141"/>
      <c r="I21" s="144"/>
      <c r="J21" s="145"/>
      <c r="K21" s="146">
        <f>SUM(K19:K20)</f>
        <v>234.75150579150582</v>
      </c>
      <c r="L21" s="147">
        <f>K21/L$15</f>
        <v>0.81510939510939517</v>
      </c>
      <c r="M21" s="148">
        <f>SUM(M19:M20)</f>
        <v>38849.999999999993</v>
      </c>
      <c r="N21" s="123">
        <f>SUM(N19:N20)</f>
        <v>15</v>
      </c>
    </row>
    <row r="22" spans="1:25" ht="16.3" x14ac:dyDescent="0.3">
      <c r="A22" s="6"/>
      <c r="B22" s="7"/>
      <c r="C22" s="2"/>
      <c r="D22" s="2"/>
      <c r="E22" s="2"/>
      <c r="F22" s="2"/>
      <c r="G22" s="2"/>
      <c r="H22" s="2"/>
      <c r="I22" s="2"/>
      <c r="J22" s="2"/>
      <c r="K22" s="113"/>
      <c r="L22" s="2"/>
      <c r="M22" s="12"/>
    </row>
    <row r="23" spans="1:25" ht="16.3" x14ac:dyDescent="0.3">
      <c r="A23" s="6"/>
      <c r="B23" s="7"/>
      <c r="C23" s="2"/>
      <c r="D23" s="2"/>
      <c r="E23" s="2"/>
      <c r="F23" s="2"/>
      <c r="G23" s="2"/>
      <c r="H23" s="2"/>
      <c r="I23" s="2"/>
      <c r="J23" s="2"/>
      <c r="K23" s="113"/>
      <c r="L23" s="2"/>
      <c r="M23" s="12"/>
    </row>
    <row r="24" spans="1:25" ht="16.3" x14ac:dyDescent="0.3">
      <c r="A24" s="6" t="s">
        <v>98</v>
      </c>
      <c r="B24" s="7"/>
      <c r="C24" s="2"/>
      <c r="D24" s="2"/>
      <c r="E24" s="2"/>
      <c r="F24" s="2"/>
      <c r="G24" s="2"/>
      <c r="H24" s="2"/>
      <c r="I24" s="2"/>
      <c r="J24" s="2"/>
      <c r="K24" s="8" t="s">
        <v>1</v>
      </c>
      <c r="L24" s="9">
        <f>12*24</f>
        <v>288</v>
      </c>
      <c r="M24" s="10" t="s">
        <v>2</v>
      </c>
    </row>
    <row r="25" spans="1:25" ht="17" thickBot="1" x14ac:dyDescent="0.35">
      <c r="A25" s="6"/>
      <c r="B25" s="7"/>
      <c r="C25" s="2"/>
      <c r="D25" s="2"/>
      <c r="E25" s="2"/>
      <c r="F25" s="2"/>
      <c r="G25" s="2"/>
      <c r="H25" s="2"/>
      <c r="I25" s="2"/>
      <c r="J25" s="2"/>
      <c r="K25" s="11" t="s">
        <v>112</v>
      </c>
      <c r="L25" s="2"/>
      <c r="M25" s="12"/>
    </row>
    <row r="26" spans="1:25" ht="25.5" customHeight="1" x14ac:dyDescent="0.25">
      <c r="A26" s="13" t="s">
        <v>4</v>
      </c>
      <c r="B26" s="14" t="s">
        <v>5</v>
      </c>
      <c r="C26" s="14" t="s">
        <v>6</v>
      </c>
      <c r="D26" s="15" t="s">
        <v>6</v>
      </c>
      <c r="E26" s="175" t="s">
        <v>7</v>
      </c>
      <c r="F26" s="176"/>
      <c r="G26" s="15" t="s">
        <v>8</v>
      </c>
      <c r="H26" s="14" t="s">
        <v>9</v>
      </c>
      <c r="I26" s="177" t="s">
        <v>10</v>
      </c>
      <c r="J26" s="178"/>
      <c r="K26" s="16" t="s">
        <v>11</v>
      </c>
      <c r="L26" s="14" t="s">
        <v>12</v>
      </c>
      <c r="M26" s="15" t="s">
        <v>13</v>
      </c>
      <c r="N26" s="17" t="s">
        <v>14</v>
      </c>
    </row>
    <row r="27" spans="1:25" x14ac:dyDescent="0.25">
      <c r="A27" s="19" t="s">
        <v>15</v>
      </c>
      <c r="B27" s="20"/>
      <c r="C27" s="22" t="s">
        <v>16</v>
      </c>
      <c r="D27" s="21" t="s">
        <v>17</v>
      </c>
      <c r="E27" s="20" t="s">
        <v>18</v>
      </c>
      <c r="F27" s="20" t="s">
        <v>19</v>
      </c>
      <c r="G27" s="45" t="s">
        <v>20</v>
      </c>
      <c r="H27" s="20" t="s">
        <v>21</v>
      </c>
      <c r="I27" s="20" t="s">
        <v>22</v>
      </c>
      <c r="J27" s="20" t="s">
        <v>23</v>
      </c>
      <c r="K27" s="23" t="s">
        <v>24</v>
      </c>
      <c r="L27" s="20" t="s">
        <v>25</v>
      </c>
      <c r="M27" s="45" t="s">
        <v>26</v>
      </c>
      <c r="N27" s="52" t="s">
        <v>27</v>
      </c>
      <c r="Q27" s="18"/>
      <c r="S27" s="18"/>
      <c r="U27" s="18"/>
      <c r="W27" s="18"/>
      <c r="Y27" s="18"/>
    </row>
    <row r="28" spans="1:25" x14ac:dyDescent="0.25">
      <c r="A28" s="24" t="s">
        <v>83</v>
      </c>
      <c r="B28" s="25" t="s">
        <v>87</v>
      </c>
      <c r="C28" s="35">
        <v>80</v>
      </c>
      <c r="D28" s="53">
        <v>24</v>
      </c>
      <c r="E28" s="54">
        <v>25000</v>
      </c>
      <c r="F28" s="55">
        <f>((C28*D28/1000)*E28)/1000</f>
        <v>48</v>
      </c>
      <c r="G28" s="53">
        <v>80</v>
      </c>
      <c r="H28" s="28">
        <v>70</v>
      </c>
      <c r="I28" s="56">
        <f>(C28*G28*60/1000/1000)*H28%</f>
        <v>0.26879999999999998</v>
      </c>
      <c r="J28" s="57">
        <f t="shared" ref="J28" si="1">G28/D28*60*H28%</f>
        <v>140</v>
      </c>
      <c r="K28" s="29">
        <f>E28/J28</f>
        <v>178.57142857142858</v>
      </c>
      <c r="L28" s="30">
        <f>K28/L$24</f>
        <v>0.62003968253968256</v>
      </c>
      <c r="M28" s="121">
        <f>K28/K$30*L$6*J28</f>
        <v>40320</v>
      </c>
      <c r="N28" s="31">
        <v>12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x14ac:dyDescent="0.25">
      <c r="A29" s="24"/>
      <c r="B29" s="33"/>
      <c r="C29" s="35"/>
      <c r="D29" s="138"/>
      <c r="E29" s="58"/>
      <c r="F29" s="59"/>
      <c r="G29" s="138"/>
      <c r="H29" s="35"/>
      <c r="I29" s="60"/>
      <c r="J29" s="61"/>
      <c r="K29" s="139"/>
      <c r="L29" s="37"/>
      <c r="M29" s="122"/>
      <c r="N29" s="39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 ht="16.3" x14ac:dyDescent="0.4">
      <c r="A30" s="40" t="s">
        <v>84</v>
      </c>
      <c r="B30" s="62"/>
      <c r="C30" s="63"/>
      <c r="D30" s="63"/>
      <c r="E30" s="64"/>
      <c r="F30" s="65"/>
      <c r="G30" s="63"/>
      <c r="H30" s="63"/>
      <c r="I30" s="66"/>
      <c r="J30" s="67"/>
      <c r="K30" s="68">
        <f>SUM(K28:K29)</f>
        <v>178.57142857142858</v>
      </c>
      <c r="L30" s="69">
        <f>K30/L$24</f>
        <v>0.62003968253968256</v>
      </c>
      <c r="M30" s="70">
        <f>SUM(M28:M29)</f>
        <v>40320</v>
      </c>
      <c r="N30" s="127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 x14ac:dyDescent="0.25">
      <c r="A31" s="71"/>
      <c r="B31" s="62"/>
      <c r="C31" s="63"/>
      <c r="D31" s="63"/>
      <c r="E31" s="64"/>
      <c r="F31" s="65"/>
      <c r="G31" s="63"/>
      <c r="H31" s="63"/>
      <c r="I31" s="72"/>
      <c r="J31" s="73"/>
      <c r="K31" s="149"/>
      <c r="L31" s="150"/>
      <c r="M31" s="70"/>
      <c r="N31" s="127"/>
      <c r="O31" s="32"/>
      <c r="P31" s="32"/>
      <c r="Q31" s="32"/>
      <c r="R31" s="32"/>
      <c r="S31" s="32"/>
      <c r="T31" s="86"/>
      <c r="U31" s="86"/>
      <c r="V31" s="32"/>
      <c r="W31" s="32"/>
      <c r="X31" s="32"/>
      <c r="Y31" s="32"/>
    </row>
    <row r="32" spans="1:25" x14ac:dyDescent="0.25">
      <c r="A32" s="128" t="s">
        <v>85</v>
      </c>
      <c r="B32" s="25" t="s">
        <v>82</v>
      </c>
      <c r="C32" s="28">
        <v>20</v>
      </c>
      <c r="D32" s="28">
        <v>144</v>
      </c>
      <c r="E32" s="74">
        <v>15000</v>
      </c>
      <c r="F32" s="55">
        <f t="shared" ref="F32" si="2">(C32*D32*E32/1000)/1000</f>
        <v>43.2</v>
      </c>
      <c r="G32" s="53">
        <v>185</v>
      </c>
      <c r="H32" s="28">
        <v>70</v>
      </c>
      <c r="I32" s="56">
        <f>(C32*G32*60/1000/1000)*H32%</f>
        <v>0.15539999999999998</v>
      </c>
      <c r="J32" s="41">
        <f>G32/D32*60*H32%</f>
        <v>53.958333333333336</v>
      </c>
      <c r="K32" s="29">
        <f>E32/J32</f>
        <v>277.99227799227799</v>
      </c>
      <c r="L32" s="30">
        <f>K32/L$24</f>
        <v>0.96525096525096521</v>
      </c>
      <c r="M32" s="121">
        <f>K32/K$35*L$6*J32</f>
        <v>15540</v>
      </c>
      <c r="N32" s="31">
        <v>18</v>
      </c>
      <c r="O32" s="32"/>
      <c r="P32" s="32"/>
      <c r="Q32" s="32"/>
      <c r="R32" s="32"/>
      <c r="S32" s="85"/>
      <c r="T32" s="86"/>
      <c r="U32" s="86"/>
      <c r="V32" s="32"/>
      <c r="W32" s="32"/>
      <c r="Y32" s="32"/>
    </row>
    <row r="33" spans="1:25" x14ac:dyDescent="0.25">
      <c r="A33" s="129" t="s">
        <v>81</v>
      </c>
      <c r="B33" s="33"/>
      <c r="C33" s="35"/>
      <c r="D33" s="35"/>
      <c r="E33" s="38"/>
      <c r="F33" s="59"/>
      <c r="G33" s="138"/>
      <c r="H33" s="35"/>
      <c r="I33" s="60"/>
      <c r="J33" s="34"/>
      <c r="K33" s="139"/>
      <c r="L33" s="37"/>
      <c r="M33" s="124"/>
      <c r="N33" s="39"/>
      <c r="O33" s="32"/>
      <c r="P33" s="32"/>
      <c r="Q33" s="32"/>
      <c r="R33" s="32"/>
      <c r="S33" s="85"/>
      <c r="T33" s="86"/>
      <c r="U33" s="86"/>
      <c r="V33" s="32"/>
      <c r="W33" s="32"/>
      <c r="Y33" s="32"/>
    </row>
    <row r="34" spans="1:25" x14ac:dyDescent="0.25">
      <c r="A34" s="129" t="s">
        <v>86</v>
      </c>
      <c r="B34" s="33"/>
      <c r="C34" s="35"/>
      <c r="D34" s="35"/>
      <c r="E34" s="38"/>
      <c r="F34" s="59"/>
      <c r="G34" s="138"/>
      <c r="H34" s="35"/>
      <c r="I34" s="60"/>
      <c r="J34" s="34"/>
      <c r="K34" s="139"/>
      <c r="L34" s="37"/>
      <c r="M34" s="124"/>
      <c r="N34" s="39"/>
      <c r="O34" s="32"/>
      <c r="P34" s="32"/>
      <c r="Q34" s="32"/>
      <c r="R34" s="32"/>
      <c r="S34" s="85"/>
      <c r="T34" s="86"/>
      <c r="U34" s="86"/>
      <c r="V34" s="32"/>
      <c r="W34" s="32"/>
      <c r="Y34" s="32"/>
    </row>
    <row r="35" spans="1:25" ht="14.95" thickBot="1" x14ac:dyDescent="0.3">
      <c r="A35" s="75" t="s">
        <v>88</v>
      </c>
      <c r="B35" s="27"/>
      <c r="C35" s="27"/>
      <c r="D35" s="27"/>
      <c r="E35" s="76"/>
      <c r="F35" s="29"/>
      <c r="G35" s="27"/>
      <c r="H35" s="27"/>
      <c r="I35" s="77"/>
      <c r="J35" s="78"/>
      <c r="K35" s="79">
        <f>SUM(K32:K34)</f>
        <v>277.99227799227799</v>
      </c>
      <c r="L35" s="80">
        <f>K35/L$24</f>
        <v>0.96525096525096521</v>
      </c>
      <c r="M35" s="125">
        <f>SUM(M32:M34)</f>
        <v>15540</v>
      </c>
      <c r="N35" s="151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 ht="21.1" customHeight="1" thickBot="1" x14ac:dyDescent="0.3">
      <c r="A36" s="81" t="s">
        <v>90</v>
      </c>
      <c r="B36" s="82"/>
      <c r="C36" s="82"/>
      <c r="D36" s="82"/>
      <c r="E36" s="119">
        <f>SUM(E28:E34)</f>
        <v>40000</v>
      </c>
      <c r="F36" s="120">
        <f>(SUM(F28:F29)+SUM(F32:F34))*0.77</f>
        <v>70.224000000000004</v>
      </c>
      <c r="G36" s="82"/>
      <c r="H36" s="82"/>
      <c r="I36" s="82"/>
      <c r="J36" s="83"/>
      <c r="K36" s="84">
        <f>K35+K30</f>
        <v>456.56370656370655</v>
      </c>
      <c r="L36" s="100">
        <f>+E36/M36</f>
        <v>0.71607590404582888</v>
      </c>
      <c r="M36" s="126">
        <f>M30+M35</f>
        <v>55860</v>
      </c>
      <c r="N36" s="123">
        <f>SUM(N28:N32)</f>
        <v>30</v>
      </c>
    </row>
    <row r="39" spans="1:25" ht="32.6" x14ac:dyDescent="0.25">
      <c r="B39" s="173" t="s">
        <v>100</v>
      </c>
      <c r="C39" s="48" t="s">
        <v>35</v>
      </c>
      <c r="D39" s="48" t="s">
        <v>36</v>
      </c>
      <c r="E39" s="49" t="s">
        <v>37</v>
      </c>
      <c r="F39" s="48" t="s">
        <v>38</v>
      </c>
    </row>
    <row r="40" spans="1:25" x14ac:dyDescent="0.25">
      <c r="B40" s="174"/>
      <c r="C40" s="50">
        <v>81</v>
      </c>
      <c r="D40" s="50">
        <f>71-7</f>
        <v>64</v>
      </c>
      <c r="E40" s="51">
        <f>+N13+N21+N36</f>
        <v>72</v>
      </c>
      <c r="F40" s="50">
        <f>+D40-E40</f>
        <v>-8</v>
      </c>
    </row>
    <row r="44" spans="1:25" x14ac:dyDescent="0.25">
      <c r="F44" s="36"/>
      <c r="G44" s="36"/>
      <c r="J44" s="43"/>
      <c r="K44" s="46"/>
      <c r="L44" s="101"/>
      <c r="M44" s="18"/>
    </row>
    <row r="45" spans="1:25" x14ac:dyDescent="0.25">
      <c r="G45" s="36"/>
      <c r="J45" s="43"/>
      <c r="K45" s="46"/>
      <c r="L45" s="43"/>
      <c r="M45" s="18"/>
    </row>
    <row r="46" spans="1:25" x14ac:dyDescent="0.25">
      <c r="G46" s="36"/>
      <c r="J46" s="43"/>
      <c r="K46" s="46"/>
      <c r="L46" s="43"/>
      <c r="M46" s="18"/>
    </row>
    <row r="47" spans="1:25" x14ac:dyDescent="0.25">
      <c r="F47" s="36"/>
      <c r="G47" s="36"/>
      <c r="J47" s="43"/>
      <c r="K47" s="46"/>
      <c r="L47" s="43"/>
      <c r="M47" s="18"/>
    </row>
    <row r="48" spans="1:25" x14ac:dyDescent="0.25">
      <c r="A48" s="47"/>
    </row>
  </sheetData>
  <mergeCells count="15">
    <mergeCell ref="I8:J8"/>
    <mergeCell ref="I9:J9"/>
    <mergeCell ref="I10:J10"/>
    <mergeCell ref="I13:J13"/>
    <mergeCell ref="B39:B40"/>
    <mergeCell ref="E26:F26"/>
    <mergeCell ref="I26:J26"/>
    <mergeCell ref="B13:E13"/>
    <mergeCell ref="B10:E10"/>
    <mergeCell ref="B11:E11"/>
    <mergeCell ref="I11:J11"/>
    <mergeCell ref="B12:E12"/>
    <mergeCell ref="I12:J12"/>
    <mergeCell ref="E17:F17"/>
    <mergeCell ref="I17:J17"/>
  </mergeCells>
  <pageMargins left="0.24" right="0.2" top="0.32" bottom="0.75" header="0.3" footer="0.3"/>
  <pageSetup paperSize="9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5020-5112-4836-8A1B-016A0EADE845}">
  <dimension ref="A1:I8"/>
  <sheetViews>
    <sheetView workbookViewId="0">
      <selection activeCell="G2" sqref="G2"/>
    </sheetView>
  </sheetViews>
  <sheetFormatPr defaultRowHeight="14.3" x14ac:dyDescent="0.25"/>
  <cols>
    <col min="1" max="1" width="16.375" bestFit="1" customWidth="1"/>
    <col min="2" max="2" width="10.875" bestFit="1" customWidth="1"/>
    <col min="3" max="3" width="7.75" bestFit="1" customWidth="1"/>
    <col min="6" max="6" width="18.25" bestFit="1" customWidth="1"/>
    <col min="7" max="7" width="9.125" bestFit="1" customWidth="1"/>
    <col min="8" max="8" width="14.375" bestFit="1" customWidth="1"/>
    <col min="9" max="9" width="5.75" bestFit="1" customWidth="1"/>
  </cols>
  <sheetData>
    <row r="1" spans="1:9" x14ac:dyDescent="0.25">
      <c r="A1" t="s">
        <v>97</v>
      </c>
      <c r="D1" t="s">
        <v>99</v>
      </c>
      <c r="F1" s="152" t="s">
        <v>1</v>
      </c>
      <c r="G1" s="27">
        <v>288</v>
      </c>
      <c r="H1" s="27" t="s">
        <v>93</v>
      </c>
      <c r="I1" s="153"/>
    </row>
    <row r="2" spans="1:9" x14ac:dyDescent="0.25">
      <c r="F2" s="154" t="s">
        <v>112</v>
      </c>
      <c r="G2" s="155"/>
      <c r="H2" s="155"/>
      <c r="I2" s="156"/>
    </row>
    <row r="3" spans="1:9" x14ac:dyDescent="0.25">
      <c r="A3" s="28" t="s">
        <v>4</v>
      </c>
      <c r="B3" s="28" t="s">
        <v>19</v>
      </c>
      <c r="C3" s="28" t="s">
        <v>8</v>
      </c>
      <c r="D3" s="28" t="s">
        <v>25</v>
      </c>
      <c r="E3" s="28" t="s">
        <v>10</v>
      </c>
      <c r="F3" s="28" t="s">
        <v>11</v>
      </c>
      <c r="G3" s="28" t="s">
        <v>12</v>
      </c>
      <c r="H3" s="28" t="s">
        <v>13</v>
      </c>
      <c r="I3" s="28" t="s">
        <v>40</v>
      </c>
    </row>
    <row r="4" spans="1:9" x14ac:dyDescent="0.25">
      <c r="A4" s="157" t="s">
        <v>15</v>
      </c>
      <c r="B4" s="157" t="s">
        <v>28</v>
      </c>
      <c r="C4" s="157" t="s">
        <v>29</v>
      </c>
      <c r="D4" s="157" t="s">
        <v>41</v>
      </c>
      <c r="E4" s="157" t="s">
        <v>30</v>
      </c>
      <c r="F4" s="157" t="s">
        <v>24</v>
      </c>
      <c r="G4" s="157" t="s">
        <v>25</v>
      </c>
      <c r="H4" s="157" t="s">
        <v>31</v>
      </c>
      <c r="I4" s="157" t="s">
        <v>42</v>
      </c>
    </row>
    <row r="5" spans="1:9" x14ac:dyDescent="0.25">
      <c r="A5" s="50" t="s">
        <v>89</v>
      </c>
      <c r="B5" s="50">
        <v>78.650000000000006</v>
      </c>
      <c r="C5" s="50">
        <v>35</v>
      </c>
      <c r="D5" s="50">
        <v>60</v>
      </c>
      <c r="E5" s="50">
        <v>1.26</v>
      </c>
      <c r="F5" s="50" t="s">
        <v>114</v>
      </c>
      <c r="G5" s="50">
        <v>21.67</v>
      </c>
      <c r="H5" s="50">
        <v>362.88</v>
      </c>
      <c r="I5" s="50">
        <v>5</v>
      </c>
    </row>
    <row r="6" spans="1:9" x14ac:dyDescent="0.25">
      <c r="A6" s="50" t="s">
        <v>91</v>
      </c>
      <c r="B6" s="164">
        <v>78.650000000000006</v>
      </c>
      <c r="C6" s="50">
        <v>35</v>
      </c>
      <c r="D6" s="50">
        <v>60</v>
      </c>
      <c r="E6" s="50">
        <v>1.26</v>
      </c>
      <c r="F6" s="164" t="s">
        <v>115</v>
      </c>
      <c r="G6" s="164">
        <v>21.67</v>
      </c>
      <c r="H6" s="164">
        <v>362.88</v>
      </c>
      <c r="I6" s="50">
        <v>15</v>
      </c>
    </row>
    <row r="7" spans="1:9" x14ac:dyDescent="0.25">
      <c r="A7" s="50"/>
      <c r="B7" s="50"/>
      <c r="C7" s="50"/>
      <c r="D7" s="50"/>
      <c r="E7" s="50"/>
      <c r="F7" s="50"/>
      <c r="G7" s="50"/>
      <c r="H7" s="50"/>
      <c r="I7" s="50"/>
    </row>
    <row r="8" spans="1:9" x14ac:dyDescent="0.25">
      <c r="A8" s="185" t="s">
        <v>105</v>
      </c>
      <c r="B8" s="185"/>
      <c r="C8" s="185"/>
      <c r="D8" s="185"/>
      <c r="E8" s="185"/>
      <c r="F8" s="185"/>
      <c r="G8" s="50">
        <v>24.26</v>
      </c>
      <c r="H8" s="50">
        <v>302</v>
      </c>
      <c r="I8" s="50">
        <v>27</v>
      </c>
    </row>
  </sheetData>
  <mergeCells count="1">
    <mergeCell ref="A8:F8"/>
  </mergeCells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FFAA-3D88-455E-8F9D-2FAB2A7CEA04}">
  <dimension ref="A1:E4"/>
  <sheetViews>
    <sheetView workbookViewId="0">
      <selection activeCell="G16" sqref="G16"/>
    </sheetView>
  </sheetViews>
  <sheetFormatPr defaultRowHeight="14.3" x14ac:dyDescent="0.25"/>
  <cols>
    <col min="1" max="1" width="10.75" bestFit="1" customWidth="1"/>
    <col min="3" max="3" width="12.125" bestFit="1" customWidth="1"/>
    <col min="4" max="4" width="9.75" bestFit="1" customWidth="1"/>
  </cols>
  <sheetData>
    <row r="1" spans="1:5" x14ac:dyDescent="0.25">
      <c r="A1" t="s">
        <v>92</v>
      </c>
    </row>
    <row r="3" spans="1:5" x14ac:dyDescent="0.25">
      <c r="A3" s="50" t="s">
        <v>111</v>
      </c>
      <c r="B3" s="50" t="s">
        <v>107</v>
      </c>
      <c r="C3" s="50" t="s">
        <v>108</v>
      </c>
      <c r="D3" s="50" t="s">
        <v>109</v>
      </c>
      <c r="E3" s="50" t="s">
        <v>110</v>
      </c>
    </row>
    <row r="4" spans="1:5" x14ac:dyDescent="0.25">
      <c r="A4" s="50">
        <v>116</v>
      </c>
      <c r="B4" s="161">
        <v>1600</v>
      </c>
      <c r="C4" s="50">
        <v>140</v>
      </c>
      <c r="D4" s="50">
        <v>80</v>
      </c>
      <c r="E4" s="50">
        <v>1.74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0DF2-F708-44EC-82FD-B452EAD3B706}">
  <sheetPr>
    <pageSetUpPr fitToPage="1"/>
  </sheetPr>
  <dimension ref="A1:M7"/>
  <sheetViews>
    <sheetView workbookViewId="0">
      <selection activeCell="J3" sqref="J3"/>
    </sheetView>
  </sheetViews>
  <sheetFormatPr defaultRowHeight="14.3" x14ac:dyDescent="0.25"/>
  <cols>
    <col min="1" max="1" width="14.75" bestFit="1" customWidth="1"/>
    <col min="2" max="2" width="8" bestFit="1" customWidth="1"/>
    <col min="3" max="3" width="9.625" bestFit="1" customWidth="1"/>
    <col min="4" max="5" width="12.625" customWidth="1"/>
    <col min="6" max="6" width="9.125" customWidth="1"/>
    <col min="7" max="7" width="4.25" bestFit="1" customWidth="1"/>
    <col min="8" max="8" width="6.875" bestFit="1" customWidth="1"/>
    <col min="9" max="9" width="8.875" bestFit="1" customWidth="1"/>
    <col min="10" max="10" width="18.25" bestFit="1" customWidth="1"/>
    <col min="11" max="11" width="9.125" bestFit="1" customWidth="1"/>
    <col min="12" max="12" width="14.5" bestFit="1" customWidth="1"/>
    <col min="13" max="13" width="5.75" bestFit="1" customWidth="1"/>
  </cols>
  <sheetData>
    <row r="1" spans="1:13" x14ac:dyDescent="0.25">
      <c r="A1" t="s">
        <v>103</v>
      </c>
      <c r="J1" s="152" t="s">
        <v>1</v>
      </c>
      <c r="K1" s="27">
        <v>288</v>
      </c>
      <c r="L1" s="27" t="s">
        <v>2</v>
      </c>
      <c r="M1" s="153"/>
    </row>
    <row r="2" spans="1:13" x14ac:dyDescent="0.25">
      <c r="J2" s="154" t="s">
        <v>112</v>
      </c>
      <c r="K2" s="155"/>
      <c r="L2" s="155"/>
      <c r="M2" s="156"/>
    </row>
    <row r="3" spans="1:13" x14ac:dyDescent="0.25">
      <c r="A3" s="28" t="s">
        <v>4</v>
      </c>
      <c r="B3" s="28" t="s">
        <v>6</v>
      </c>
      <c r="C3" s="28" t="s">
        <v>6</v>
      </c>
      <c r="D3" s="186" t="s">
        <v>7</v>
      </c>
      <c r="E3" s="186"/>
      <c r="F3" s="28" t="s">
        <v>8</v>
      </c>
      <c r="G3" s="28" t="s">
        <v>9</v>
      </c>
      <c r="H3" s="28" t="s">
        <v>10</v>
      </c>
      <c r="I3" s="28"/>
      <c r="J3" s="28" t="s">
        <v>11</v>
      </c>
      <c r="K3" s="28" t="s">
        <v>12</v>
      </c>
      <c r="L3" s="28" t="s">
        <v>13</v>
      </c>
      <c r="M3" s="28" t="s">
        <v>14</v>
      </c>
    </row>
    <row r="4" spans="1:13" x14ac:dyDescent="0.25">
      <c r="A4" s="157" t="s">
        <v>15</v>
      </c>
      <c r="B4" s="157" t="s">
        <v>16</v>
      </c>
      <c r="C4" s="157" t="s">
        <v>17</v>
      </c>
      <c r="D4" s="157" t="s">
        <v>18</v>
      </c>
      <c r="E4" s="157" t="s">
        <v>19</v>
      </c>
      <c r="F4" s="157" t="s">
        <v>20</v>
      </c>
      <c r="G4" s="157" t="s">
        <v>21</v>
      </c>
      <c r="H4" s="157" t="s">
        <v>22</v>
      </c>
      <c r="I4" s="157" t="s">
        <v>23</v>
      </c>
      <c r="J4" s="157" t="s">
        <v>24</v>
      </c>
      <c r="K4" s="157" t="s">
        <v>25</v>
      </c>
      <c r="L4" s="157" t="s">
        <v>26</v>
      </c>
      <c r="M4" s="157" t="s">
        <v>27</v>
      </c>
    </row>
    <row r="5" spans="1:13" x14ac:dyDescent="0.25">
      <c r="A5" s="28" t="s">
        <v>106</v>
      </c>
      <c r="B5" s="28">
        <v>5</v>
      </c>
      <c r="C5" s="28">
        <v>576</v>
      </c>
      <c r="D5" s="28">
        <v>31667</v>
      </c>
      <c r="E5" s="28">
        <v>91.2</v>
      </c>
      <c r="F5" s="28">
        <v>1850</v>
      </c>
      <c r="G5" s="28">
        <v>70</v>
      </c>
      <c r="H5" s="28">
        <v>0.39</v>
      </c>
      <c r="I5" s="28">
        <v>135</v>
      </c>
      <c r="J5" s="28">
        <v>234.75</v>
      </c>
      <c r="K5" s="28" t="s">
        <v>116</v>
      </c>
      <c r="L5" s="28">
        <v>38850</v>
      </c>
      <c r="M5" s="28">
        <v>15</v>
      </c>
    </row>
    <row r="6" spans="1:13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</row>
    <row r="7" spans="1:13" x14ac:dyDescent="0.25">
      <c r="A7" s="186" t="s">
        <v>94</v>
      </c>
      <c r="B7" s="186"/>
      <c r="C7" s="186"/>
      <c r="D7" s="186"/>
      <c r="E7" s="186"/>
      <c r="F7" s="186"/>
      <c r="G7" s="186"/>
      <c r="H7" s="186"/>
      <c r="I7" s="186"/>
      <c r="J7" s="50">
        <f>J5</f>
        <v>234.75</v>
      </c>
      <c r="K7" s="50" t="str">
        <f>K5</f>
        <v>81,51</v>
      </c>
      <c r="L7" s="50">
        <f>L5</f>
        <v>38850</v>
      </c>
      <c r="M7" s="50">
        <v>15</v>
      </c>
    </row>
  </sheetData>
  <mergeCells count="2">
    <mergeCell ref="D3:E3"/>
    <mergeCell ref="A7:I7"/>
  </mergeCells>
  <printOptions horizontalCentered="1"/>
  <pageMargins left="0" right="0" top="0.75" bottom="0.75" header="0.3" footer="0.3"/>
  <pageSetup scale="7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4F56-7CC5-4F11-9398-D9FE570F048E}">
  <sheetPr>
    <pageSetUpPr fitToPage="1"/>
  </sheetPr>
  <dimension ref="A1:N12"/>
  <sheetViews>
    <sheetView workbookViewId="0">
      <selection activeCell="A9" sqref="A9"/>
    </sheetView>
  </sheetViews>
  <sheetFormatPr defaultRowHeight="14.3" x14ac:dyDescent="0.25"/>
  <cols>
    <col min="1" max="1" width="21.5" bestFit="1" customWidth="1"/>
    <col min="2" max="2" width="8.375" bestFit="1" customWidth="1"/>
    <col min="3" max="3" width="8" bestFit="1" customWidth="1"/>
    <col min="4" max="4" width="9.625" bestFit="1" customWidth="1"/>
    <col min="5" max="5" width="22.875" bestFit="1" customWidth="1"/>
    <col min="6" max="6" width="8.875" bestFit="1" customWidth="1"/>
    <col min="7" max="7" width="8.625" bestFit="1" customWidth="1"/>
    <col min="8" max="8" width="5.875" bestFit="1" customWidth="1"/>
    <col min="9" max="9" width="9.875" bestFit="1" customWidth="1"/>
    <col min="10" max="10" width="8.875" bestFit="1" customWidth="1"/>
    <col min="11" max="11" width="18.25" bestFit="1" customWidth="1"/>
    <col min="13" max="13" width="14.5" bestFit="1" customWidth="1"/>
  </cols>
  <sheetData>
    <row r="1" spans="1:14" x14ac:dyDescent="0.25">
      <c r="A1" t="s">
        <v>113</v>
      </c>
      <c r="K1" s="152" t="s">
        <v>1</v>
      </c>
      <c r="L1" s="27">
        <v>288</v>
      </c>
      <c r="M1" s="27" t="s">
        <v>2</v>
      </c>
      <c r="N1" s="153"/>
    </row>
    <row r="2" spans="1:14" x14ac:dyDescent="0.25">
      <c r="K2" s="154" t="s">
        <v>112</v>
      </c>
      <c r="L2" s="155"/>
      <c r="M2" s="155"/>
      <c r="N2" s="156"/>
    </row>
    <row r="3" spans="1:14" x14ac:dyDescent="0.25">
      <c r="A3" s="28" t="s">
        <v>4</v>
      </c>
      <c r="B3" s="28" t="s">
        <v>5</v>
      </c>
      <c r="C3" s="28" t="s">
        <v>6</v>
      </c>
      <c r="D3" s="28" t="s">
        <v>6</v>
      </c>
      <c r="E3" s="28" t="s">
        <v>7</v>
      </c>
      <c r="F3" s="28"/>
      <c r="G3" s="28" t="s">
        <v>8</v>
      </c>
      <c r="H3" s="28" t="s">
        <v>9</v>
      </c>
      <c r="I3" s="28" t="s">
        <v>10</v>
      </c>
      <c r="J3" s="28"/>
      <c r="K3" s="28" t="s">
        <v>11</v>
      </c>
      <c r="L3" s="28" t="s">
        <v>12</v>
      </c>
      <c r="M3" s="28" t="s">
        <v>13</v>
      </c>
      <c r="N3" s="28" t="s">
        <v>14</v>
      </c>
    </row>
    <row r="4" spans="1:14" x14ac:dyDescent="0.25">
      <c r="A4" s="157" t="s">
        <v>15</v>
      </c>
      <c r="B4" s="157"/>
      <c r="C4" s="157" t="s">
        <v>16</v>
      </c>
      <c r="D4" s="157" t="s">
        <v>17</v>
      </c>
      <c r="E4" s="157" t="s">
        <v>18</v>
      </c>
      <c r="F4" s="157" t="s">
        <v>19</v>
      </c>
      <c r="G4" s="157" t="s">
        <v>20</v>
      </c>
      <c r="H4" s="157" t="s">
        <v>21</v>
      </c>
      <c r="I4" s="157" t="s">
        <v>22</v>
      </c>
      <c r="J4" s="157" t="s">
        <v>23</v>
      </c>
      <c r="K4" s="157" t="s">
        <v>24</v>
      </c>
      <c r="L4" s="157" t="s">
        <v>25</v>
      </c>
      <c r="M4" s="157" t="s">
        <v>26</v>
      </c>
      <c r="N4" s="157" t="s">
        <v>27</v>
      </c>
    </row>
    <row r="5" spans="1:14" x14ac:dyDescent="0.25">
      <c r="A5" s="28" t="s">
        <v>83</v>
      </c>
      <c r="B5" s="28" t="s">
        <v>87</v>
      </c>
      <c r="C5" s="28">
        <v>80</v>
      </c>
      <c r="D5" s="28">
        <v>24</v>
      </c>
      <c r="E5" s="28">
        <v>25000</v>
      </c>
      <c r="F5" s="28">
        <v>48</v>
      </c>
      <c r="G5" s="28">
        <v>80</v>
      </c>
      <c r="H5" s="28">
        <v>70</v>
      </c>
      <c r="I5" s="28">
        <v>0.27</v>
      </c>
      <c r="J5" s="28">
        <v>140</v>
      </c>
      <c r="K5" s="28">
        <v>178.57</v>
      </c>
      <c r="L5" s="28">
        <v>62</v>
      </c>
      <c r="M5" s="159">
        <v>40320</v>
      </c>
      <c r="N5" s="28">
        <v>12</v>
      </c>
    </row>
    <row r="6" spans="1:14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60"/>
      <c r="N6" s="157"/>
    </row>
    <row r="7" spans="1:14" x14ac:dyDescent="0.25">
      <c r="A7" s="186" t="s">
        <v>84</v>
      </c>
      <c r="B7" s="186"/>
      <c r="C7" s="186"/>
      <c r="D7" s="186"/>
      <c r="E7" s="186"/>
      <c r="F7" s="186"/>
      <c r="G7" s="186"/>
      <c r="H7" s="186"/>
      <c r="I7" s="186"/>
      <c r="J7" s="186"/>
      <c r="K7" s="50">
        <f>K5</f>
        <v>178.57</v>
      </c>
      <c r="L7" s="164">
        <f t="shared" ref="L7:N7" si="0">L5</f>
        <v>62</v>
      </c>
      <c r="M7" s="164">
        <f t="shared" si="0"/>
        <v>40320</v>
      </c>
      <c r="N7" s="164">
        <f t="shared" si="0"/>
        <v>12</v>
      </c>
    </row>
    <row r="8" spans="1:14" x14ac:dyDescent="0.25">
      <c r="K8" s="158"/>
      <c r="L8" s="158"/>
      <c r="M8" s="158"/>
      <c r="N8" s="158"/>
    </row>
    <row r="9" spans="1:14" x14ac:dyDescent="0.25">
      <c r="A9" s="28" t="s">
        <v>104</v>
      </c>
      <c r="B9" s="28" t="s">
        <v>82</v>
      </c>
      <c r="C9" s="28">
        <v>20</v>
      </c>
      <c r="D9" s="28">
        <v>144</v>
      </c>
      <c r="E9" s="28">
        <v>13000</v>
      </c>
      <c r="F9" s="28">
        <v>43.2</v>
      </c>
      <c r="G9" s="28">
        <v>185</v>
      </c>
      <c r="H9" s="28">
        <v>70</v>
      </c>
      <c r="I9" s="28">
        <v>0.16</v>
      </c>
      <c r="J9" s="28">
        <v>54</v>
      </c>
      <c r="K9" s="28">
        <v>278</v>
      </c>
      <c r="L9" s="28">
        <v>96.53</v>
      </c>
      <c r="M9" s="28">
        <v>15540</v>
      </c>
      <c r="N9" s="28">
        <v>18</v>
      </c>
    </row>
    <row r="10" spans="1:14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</row>
    <row r="11" spans="1:14" x14ac:dyDescent="0.25">
      <c r="A11" s="186" t="s">
        <v>88</v>
      </c>
      <c r="B11" s="186"/>
      <c r="C11" s="186"/>
      <c r="D11" s="186"/>
      <c r="E11" s="186"/>
      <c r="F11" s="186"/>
      <c r="G11" s="186"/>
      <c r="H11" s="186"/>
      <c r="I11" s="186"/>
      <c r="J11" s="186"/>
      <c r="K11" s="50">
        <v>239</v>
      </c>
      <c r="L11" s="50">
        <v>82.84</v>
      </c>
      <c r="M11" s="50">
        <v>13077</v>
      </c>
      <c r="N11" s="50">
        <v>18</v>
      </c>
    </row>
    <row r="12" spans="1:14" s="158" customFormat="1" x14ac:dyDescent="0.25">
      <c r="A12" s="186" t="s">
        <v>90</v>
      </c>
      <c r="B12" s="186"/>
      <c r="C12" s="186"/>
      <c r="D12" s="186"/>
      <c r="E12" s="50">
        <v>37800</v>
      </c>
      <c r="F12" s="50">
        <v>65.489999999999995</v>
      </c>
      <c r="G12" s="162"/>
      <c r="H12" s="63"/>
      <c r="I12" s="63"/>
      <c r="J12" s="163"/>
      <c r="K12" s="50">
        <v>411</v>
      </c>
      <c r="L12" s="50">
        <v>79.47</v>
      </c>
      <c r="M12" s="50">
        <v>47565</v>
      </c>
      <c r="N12" s="50">
        <v>30</v>
      </c>
    </row>
  </sheetData>
  <mergeCells count="3">
    <mergeCell ref="A7:J7"/>
    <mergeCell ref="A11:J11"/>
    <mergeCell ref="A12:D12"/>
  </mergeCells>
  <printOptions horizontalCentered="1"/>
  <pageMargins left="0" right="0" top="0.75" bottom="0.75" header="0.3" footer="0.3"/>
  <pageSetup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zoomScaleNormal="100" workbookViewId="0">
      <selection activeCell="E23" sqref="E23"/>
    </sheetView>
  </sheetViews>
  <sheetFormatPr defaultColWidth="9.125" defaultRowHeight="16.3" x14ac:dyDescent="0.3"/>
  <cols>
    <col min="1" max="1" width="20.125" style="88" customWidth="1"/>
    <col min="2" max="2" width="13" style="88" customWidth="1"/>
    <col min="3" max="3" width="13" style="110" customWidth="1"/>
    <col min="4" max="9" width="9.125" style="88"/>
    <col min="10" max="10" width="11.125" style="88" customWidth="1"/>
    <col min="11" max="11" width="9.125" style="88"/>
    <col min="12" max="12" width="11.875" style="88" customWidth="1"/>
    <col min="13" max="13" width="13.25" style="88" customWidth="1"/>
    <col min="14" max="15" width="9.125" style="88"/>
    <col min="16" max="16" width="10.375" style="88" bestFit="1" customWidth="1"/>
    <col min="17" max="17" width="10.125" style="88" bestFit="1" customWidth="1"/>
    <col min="18" max="16384" width="9.125" style="88"/>
  </cols>
  <sheetData>
    <row r="1" spans="1:17" ht="32.299999999999997" customHeight="1" x14ac:dyDescent="0.3">
      <c r="A1" s="188" t="s">
        <v>56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89"/>
    </row>
    <row r="2" spans="1:17" ht="21.1" x14ac:dyDescent="0.3">
      <c r="C2" s="111" t="s">
        <v>74</v>
      </c>
      <c r="D2" s="191" t="s">
        <v>43</v>
      </c>
      <c r="E2" s="192"/>
      <c r="F2" s="192"/>
      <c r="G2" s="193"/>
      <c r="H2" s="109"/>
      <c r="I2" s="187" t="s">
        <v>52</v>
      </c>
      <c r="J2" s="187"/>
      <c r="K2" s="98" t="s">
        <v>53</v>
      </c>
      <c r="L2" s="99"/>
      <c r="M2" s="99"/>
      <c r="N2" s="99"/>
    </row>
    <row r="3" spans="1:17" ht="46.55" customHeight="1" x14ac:dyDescent="0.3">
      <c r="A3" s="87" t="s">
        <v>50</v>
      </c>
      <c r="B3" s="90" t="s">
        <v>54</v>
      </c>
      <c r="C3" s="90" t="s">
        <v>76</v>
      </c>
      <c r="D3" s="90" t="s">
        <v>44</v>
      </c>
      <c r="E3" s="90" t="s">
        <v>51</v>
      </c>
      <c r="F3" s="90" t="s">
        <v>49</v>
      </c>
      <c r="G3" s="90" t="s">
        <v>77</v>
      </c>
      <c r="H3" s="90" t="s">
        <v>78</v>
      </c>
      <c r="I3" s="90" t="s">
        <v>55</v>
      </c>
      <c r="J3" s="90" t="s">
        <v>51</v>
      </c>
      <c r="K3" s="90" t="s">
        <v>57</v>
      </c>
      <c r="L3" s="90" t="s">
        <v>58</v>
      </c>
      <c r="M3" s="90" t="s">
        <v>59</v>
      </c>
      <c r="N3" s="90" t="s">
        <v>60</v>
      </c>
    </row>
    <row r="4" spans="1:17" x14ac:dyDescent="0.3">
      <c r="A4" s="92" t="s">
        <v>45</v>
      </c>
      <c r="B4" s="91">
        <v>22</v>
      </c>
      <c r="C4" s="111">
        <v>450</v>
      </c>
      <c r="D4" s="91">
        <v>3.5</v>
      </c>
      <c r="E4" s="91">
        <f>D4*60</f>
        <v>210</v>
      </c>
      <c r="F4" s="93">
        <f>E4*1.33</f>
        <v>279.3</v>
      </c>
      <c r="G4" s="93">
        <f>F4*10</f>
        <v>2793</v>
      </c>
      <c r="H4" s="93">
        <f>G4/3.2</f>
        <v>872.8125</v>
      </c>
      <c r="I4" s="91">
        <v>60</v>
      </c>
      <c r="J4" s="93">
        <f>60*60*B4/1000*4</f>
        <v>316.8</v>
      </c>
      <c r="K4" s="93">
        <f>J4</f>
        <v>316.8</v>
      </c>
      <c r="L4" s="91">
        <f>K4/2</f>
        <v>158.4</v>
      </c>
      <c r="M4" s="91">
        <f>L4</f>
        <v>158.4</v>
      </c>
      <c r="N4" s="93">
        <f>Q11</f>
        <v>228.42947368421056</v>
      </c>
      <c r="O4" s="94">
        <v>0.33333333333333331</v>
      </c>
      <c r="P4" s="94">
        <v>0.72916666666666663</v>
      </c>
      <c r="Q4" s="94">
        <v>0.1111111111111111</v>
      </c>
    </row>
    <row r="5" spans="1:17" x14ac:dyDescent="0.3">
      <c r="A5" s="92" t="s">
        <v>48</v>
      </c>
      <c r="B5" s="91">
        <v>15</v>
      </c>
      <c r="C5" s="111" t="s">
        <v>75</v>
      </c>
      <c r="D5" s="91">
        <v>3</v>
      </c>
      <c r="E5" s="91">
        <f t="shared" ref="E5:E7" si="0">D5*60</f>
        <v>180</v>
      </c>
      <c r="F5" s="93">
        <f t="shared" ref="F5:F7" si="1">E5*1.33</f>
        <v>239.4</v>
      </c>
      <c r="G5" s="93">
        <f t="shared" ref="G5:G7" si="2">F5*10</f>
        <v>2394</v>
      </c>
      <c r="H5" s="93">
        <f>G5/2.16</f>
        <v>1108.3333333333333</v>
      </c>
      <c r="I5" s="91">
        <v>60</v>
      </c>
      <c r="J5" s="93">
        <f t="shared" ref="J5:J7" si="3">60*60*B5/1000*4</f>
        <v>216</v>
      </c>
      <c r="K5" s="93">
        <f t="shared" ref="K5:K8" si="4">J5</f>
        <v>216</v>
      </c>
      <c r="L5" s="91">
        <f t="shared" ref="L5:L8" si="5">K5/2</f>
        <v>108</v>
      </c>
      <c r="M5" s="91">
        <f t="shared" ref="M5:M8" si="6">L5</f>
        <v>108</v>
      </c>
      <c r="N5" s="93"/>
      <c r="P5" s="94">
        <f>P4-O4</f>
        <v>0.39583333333333331</v>
      </c>
    </row>
    <row r="6" spans="1:17" x14ac:dyDescent="0.3">
      <c r="A6" s="92" t="s">
        <v>46</v>
      </c>
      <c r="B6" s="91">
        <v>15</v>
      </c>
      <c r="C6" s="189">
        <v>400</v>
      </c>
      <c r="D6" s="91">
        <v>2.5</v>
      </c>
      <c r="E6" s="91">
        <f t="shared" si="0"/>
        <v>150</v>
      </c>
      <c r="F6" s="93">
        <f t="shared" si="1"/>
        <v>199.5</v>
      </c>
      <c r="G6" s="93">
        <f t="shared" si="2"/>
        <v>1995</v>
      </c>
      <c r="H6" s="93">
        <f t="shared" ref="H6:H7" si="7">G6/2.16</f>
        <v>923.61111111111109</v>
      </c>
      <c r="I6" s="91">
        <v>60</v>
      </c>
      <c r="J6" s="93">
        <f t="shared" si="3"/>
        <v>216</v>
      </c>
      <c r="K6" s="93">
        <f t="shared" si="4"/>
        <v>216</v>
      </c>
      <c r="L6" s="91">
        <f t="shared" si="5"/>
        <v>108</v>
      </c>
      <c r="M6" s="91">
        <f t="shared" si="6"/>
        <v>108</v>
      </c>
      <c r="N6" s="93"/>
    </row>
    <row r="7" spans="1:17" x14ac:dyDescent="0.3">
      <c r="A7" s="92" t="s">
        <v>47</v>
      </c>
      <c r="B7" s="91">
        <v>15</v>
      </c>
      <c r="C7" s="190"/>
      <c r="D7" s="91">
        <v>2.5</v>
      </c>
      <c r="E7" s="91">
        <f t="shared" si="0"/>
        <v>150</v>
      </c>
      <c r="F7" s="93">
        <f t="shared" si="1"/>
        <v>199.5</v>
      </c>
      <c r="G7" s="93">
        <f t="shared" si="2"/>
        <v>1995</v>
      </c>
      <c r="H7" s="93">
        <f t="shared" si="7"/>
        <v>923.61111111111109</v>
      </c>
      <c r="I7" s="91">
        <v>60</v>
      </c>
      <c r="J7" s="93">
        <f t="shared" si="3"/>
        <v>216</v>
      </c>
      <c r="K7" s="93">
        <f t="shared" si="4"/>
        <v>216</v>
      </c>
      <c r="L7" s="91">
        <f t="shared" si="5"/>
        <v>108</v>
      </c>
      <c r="M7" s="91">
        <f t="shared" si="6"/>
        <v>108</v>
      </c>
      <c r="N7" s="93"/>
      <c r="P7" s="94">
        <f>P5-Q4</f>
        <v>0.28472222222222221</v>
      </c>
      <c r="Q7" s="88">
        <f>(L4*2)+(M4*2)</f>
        <v>633.6</v>
      </c>
    </row>
    <row r="8" spans="1:17" x14ac:dyDescent="0.3">
      <c r="J8" s="88">
        <f>F4/J4*I4</f>
        <v>52.897727272727273</v>
      </c>
      <c r="K8" s="88">
        <f t="shared" si="4"/>
        <v>52.897727272727273</v>
      </c>
      <c r="L8" s="88">
        <f t="shared" si="5"/>
        <v>26.448863636363637</v>
      </c>
      <c r="M8" s="88">
        <f t="shared" si="6"/>
        <v>26.448863636363637</v>
      </c>
      <c r="P8" s="88">
        <f>J4*6</f>
        <v>1900.8000000000002</v>
      </c>
    </row>
    <row r="9" spans="1:17" x14ac:dyDescent="0.3">
      <c r="P9" s="88">
        <f>J4*0.85</f>
        <v>269.28000000000003</v>
      </c>
    </row>
    <row r="11" spans="1:17" x14ac:dyDescent="0.3">
      <c r="J11" s="88">
        <f>60*60*B4/1000*3</f>
        <v>237.60000000000002</v>
      </c>
      <c r="P11" s="95">
        <f>P8+P9</f>
        <v>2170.0800000000004</v>
      </c>
      <c r="Q11" s="97">
        <f>P11/9.5</f>
        <v>228.42947368421056</v>
      </c>
    </row>
    <row r="12" spans="1:17" x14ac:dyDescent="0.3">
      <c r="J12" s="88">
        <f>F4-J11</f>
        <v>41.699999999999989</v>
      </c>
    </row>
    <row r="13" spans="1:17" x14ac:dyDescent="0.3">
      <c r="P13" s="96">
        <f>P11/3.16</f>
        <v>686.73417721519002</v>
      </c>
    </row>
    <row r="14" spans="1:17" x14ac:dyDescent="0.3">
      <c r="J14" s="88">
        <f>J12*1000/B4</f>
        <v>1895.4545454545448</v>
      </c>
    </row>
    <row r="15" spans="1:17" x14ac:dyDescent="0.3">
      <c r="J15" s="88">
        <f>J14/60</f>
        <v>31.590909090909079</v>
      </c>
    </row>
  </sheetData>
  <mergeCells count="4">
    <mergeCell ref="I2:J2"/>
    <mergeCell ref="A1:M1"/>
    <mergeCell ref="C6:C7"/>
    <mergeCell ref="D2:G2"/>
  </mergeCells>
  <pageMargins left="0.7" right="0.7" top="0.75" bottom="0.75" header="0.3" footer="0.3"/>
  <pageSetup paperSize="9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"/>
  <sheetViews>
    <sheetView workbookViewId="0">
      <selection activeCell="D23" sqref="D23"/>
    </sheetView>
  </sheetViews>
  <sheetFormatPr defaultRowHeight="14.3" x14ac:dyDescent="0.25"/>
  <cols>
    <col min="1" max="1" width="19.125" bestFit="1" customWidth="1"/>
    <col min="2" max="2" width="10.25" customWidth="1"/>
  </cols>
  <sheetData>
    <row r="1" spans="1:16" ht="21.1" x14ac:dyDescent="0.3">
      <c r="A1" s="88"/>
      <c r="B1" s="88"/>
      <c r="C1" s="187" t="s">
        <v>62</v>
      </c>
      <c r="D1" s="187"/>
      <c r="E1" s="191" t="s">
        <v>52</v>
      </c>
      <c r="F1" s="192"/>
      <c r="G1" s="193"/>
      <c r="H1" s="103" t="s">
        <v>53</v>
      </c>
      <c r="I1" s="99"/>
    </row>
    <row r="2" spans="1:16" ht="32.6" x14ac:dyDescent="0.25">
      <c r="A2" s="102" t="s">
        <v>50</v>
      </c>
      <c r="B2" s="90" t="s">
        <v>54</v>
      </c>
      <c r="C2" s="90" t="s">
        <v>44</v>
      </c>
      <c r="D2" s="90" t="s">
        <v>51</v>
      </c>
      <c r="E2" s="90"/>
      <c r="F2" s="90" t="s">
        <v>55</v>
      </c>
      <c r="G2" s="90" t="s">
        <v>51</v>
      </c>
      <c r="H2" s="90" t="s">
        <v>57</v>
      </c>
      <c r="I2" s="90" t="s">
        <v>60</v>
      </c>
      <c r="J2" s="105" t="s">
        <v>64</v>
      </c>
      <c r="K2" s="105" t="s">
        <v>65</v>
      </c>
      <c r="L2" s="105" t="s">
        <v>66</v>
      </c>
      <c r="M2" s="105" t="s">
        <v>67</v>
      </c>
    </row>
    <row r="3" spans="1:16" ht="16.3" x14ac:dyDescent="0.3">
      <c r="A3" s="92" t="s">
        <v>61</v>
      </c>
      <c r="B3" s="91">
        <v>22</v>
      </c>
      <c r="C3" s="91">
        <v>15</v>
      </c>
      <c r="D3" s="91">
        <f>C3*60</f>
        <v>900</v>
      </c>
      <c r="E3" s="91" t="s">
        <v>68</v>
      </c>
      <c r="F3" s="91">
        <v>100</v>
      </c>
      <c r="G3" s="93">
        <f>F3*25*60/1000</f>
        <v>150</v>
      </c>
      <c r="H3" s="93">
        <f>G3</f>
        <v>150</v>
      </c>
      <c r="I3" s="194">
        <v>1346</v>
      </c>
      <c r="J3" s="106">
        <v>0.33333333333333331</v>
      </c>
      <c r="K3" s="106">
        <v>0.72916666666666663</v>
      </c>
      <c r="L3" s="106">
        <f>K3-J3</f>
        <v>0.39583333333333331</v>
      </c>
      <c r="M3" s="106">
        <v>0.1111111111111111</v>
      </c>
      <c r="N3" s="104">
        <f>L3-M3</f>
        <v>0.28472222222222221</v>
      </c>
    </row>
    <row r="4" spans="1:16" ht="16.3" x14ac:dyDescent="0.3">
      <c r="A4" s="92" t="s">
        <v>32</v>
      </c>
      <c r="B4" s="91">
        <v>15</v>
      </c>
      <c r="C4" s="91">
        <v>10</v>
      </c>
      <c r="D4" s="91">
        <f t="shared" ref="D4:D6" si="0">C4*60</f>
        <v>600</v>
      </c>
      <c r="E4" s="91" t="s">
        <v>69</v>
      </c>
      <c r="F4" s="91">
        <v>100</v>
      </c>
      <c r="G4" s="93">
        <f t="shared" ref="G4:G5" si="1">F4*25*60/1000</f>
        <v>150</v>
      </c>
      <c r="H4" s="93">
        <f t="shared" ref="H4:H8" si="2">G4</f>
        <v>150</v>
      </c>
      <c r="I4" s="195"/>
      <c r="N4">
        <f>H8*6</f>
        <v>7308</v>
      </c>
    </row>
    <row r="5" spans="1:16" ht="16.3" x14ac:dyDescent="0.3">
      <c r="A5" s="92" t="s">
        <v>33</v>
      </c>
      <c r="B5" s="91">
        <v>15</v>
      </c>
      <c r="C5" s="91">
        <v>11</v>
      </c>
      <c r="D5" s="91">
        <f t="shared" si="0"/>
        <v>660</v>
      </c>
      <c r="E5" s="91" t="s">
        <v>70</v>
      </c>
      <c r="F5" s="91">
        <v>100</v>
      </c>
      <c r="G5" s="93">
        <f t="shared" si="1"/>
        <v>150</v>
      </c>
      <c r="H5" s="93">
        <f t="shared" si="2"/>
        <v>150</v>
      </c>
      <c r="I5" s="195"/>
      <c r="N5">
        <f>(N4) * 0.75</f>
        <v>5481</v>
      </c>
    </row>
    <row r="6" spans="1:16" ht="16.3" x14ac:dyDescent="0.3">
      <c r="A6" s="92" t="s">
        <v>34</v>
      </c>
      <c r="B6" s="91">
        <v>15</v>
      </c>
      <c r="C6" s="91">
        <v>16.5</v>
      </c>
      <c r="D6" s="91">
        <f t="shared" si="0"/>
        <v>990</v>
      </c>
      <c r="E6" s="91" t="s">
        <v>71</v>
      </c>
      <c r="F6" s="91">
        <v>80</v>
      </c>
      <c r="G6" s="93">
        <f>F6*80*60/1000</f>
        <v>384</v>
      </c>
      <c r="H6" s="93">
        <f t="shared" si="2"/>
        <v>384</v>
      </c>
      <c r="I6" s="195"/>
      <c r="N6">
        <f>SUM(N4:N5)</f>
        <v>12789</v>
      </c>
      <c r="O6" s="107">
        <f>N6/9.5</f>
        <v>1346.2105263157894</v>
      </c>
    </row>
    <row r="7" spans="1:16" ht="16.3" x14ac:dyDescent="0.3">
      <c r="E7" s="108" t="s">
        <v>72</v>
      </c>
      <c r="F7" s="108">
        <v>80</v>
      </c>
      <c r="G7" s="93">
        <f>F7*80*60/1000</f>
        <v>384</v>
      </c>
      <c r="H7" s="93">
        <f t="shared" si="2"/>
        <v>384</v>
      </c>
      <c r="I7" s="195"/>
      <c r="O7">
        <f>N6/3.16</f>
        <v>4047.1518987341769</v>
      </c>
    </row>
    <row r="8" spans="1:16" ht="16.3" x14ac:dyDescent="0.3">
      <c r="A8" s="197" t="s">
        <v>63</v>
      </c>
      <c r="B8" s="197"/>
      <c r="C8" s="197"/>
      <c r="D8" s="197"/>
      <c r="E8" s="197"/>
      <c r="F8" s="197"/>
      <c r="G8" s="93">
        <f>SUM(G3:G7)</f>
        <v>1218</v>
      </c>
      <c r="H8" s="93">
        <f t="shared" si="2"/>
        <v>1218</v>
      </c>
      <c r="I8" s="196"/>
    </row>
    <row r="9" spans="1:16" x14ac:dyDescent="0.25">
      <c r="O9">
        <f>(98000/I3)/6.5</f>
        <v>11.201280146302434</v>
      </c>
      <c r="P9" t="s">
        <v>73</v>
      </c>
    </row>
  </sheetData>
  <mergeCells count="4">
    <mergeCell ref="C1:D1"/>
    <mergeCell ref="E1:G1"/>
    <mergeCell ref="I3:I8"/>
    <mergeCell ref="A8:F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YY % Utilization</vt:lpstr>
      <vt:lpstr>Chocotech+WDS</vt:lpstr>
      <vt:lpstr>Dry</vt:lpstr>
      <vt:lpstr>Wrap</vt:lpstr>
      <vt:lpstr>Pack</vt:lpstr>
      <vt:lpstr>SNACK </vt:lpstr>
      <vt:lpstr>TORO</vt:lpstr>
      <vt:lpstr>Pack!Print_Area</vt:lpstr>
      <vt:lpstr>Wrap!Print_Area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Factory_04</cp:lastModifiedBy>
  <cp:lastPrinted>2020-06-15T07:32:40Z</cp:lastPrinted>
  <dcterms:created xsi:type="dcterms:W3CDTF">2019-08-07T03:43:41Z</dcterms:created>
  <dcterms:modified xsi:type="dcterms:W3CDTF">2020-06-16T08:10:07Z</dcterms:modified>
</cp:coreProperties>
</file>