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l_08\Desktop\New folder\"/>
    </mc:Choice>
  </mc:AlternateContent>
  <xr:revisionPtr revIDLastSave="0" documentId="13_ncr:1_{1CD2B31C-C048-47DC-8000-85CA28B43E91}" xr6:coauthVersionLast="45" xr6:coauthVersionMax="45" xr10:uidLastSave="{00000000-0000-0000-0000-000000000000}"/>
  <bookViews>
    <workbookView xWindow="-120" yWindow="-120" windowWidth="20730" windowHeight="11160" activeTab="4" xr2:uid="{E55708D0-62D2-4FB0-8AF9-7AF0A6699E65}"/>
  </bookViews>
  <sheets>
    <sheet name="2020 Action Plan" sheetId="2" r:id="rId1"/>
    <sheet name=" Target" sheetId="7" r:id="rId2"/>
    <sheet name="Daily-Jan'20" sheetId="10" r:id="rId3"/>
    <sheet name="Daily-Feb'20" sheetId="11" r:id="rId4"/>
    <sheet name="KPI-2020" sheetId="1" r:id="rId5"/>
    <sheet name="Sheet1" sheetId="9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" l="1"/>
  <c r="O30" i="1" s="1"/>
  <c r="O27" i="1"/>
  <c r="N28" i="1"/>
  <c r="N27" i="1"/>
  <c r="N25" i="1"/>
  <c r="M25" i="1"/>
  <c r="N18" i="1" l="1"/>
  <c r="C75" i="11"/>
  <c r="B75" i="10"/>
  <c r="D18" i="1"/>
  <c r="L75" i="10"/>
  <c r="AT73" i="11"/>
  <c r="AS73" i="11"/>
  <c r="AR73" i="11"/>
  <c r="AQ73" i="11"/>
  <c r="AP73" i="11"/>
  <c r="AH73" i="11"/>
  <c r="AF73" i="11"/>
  <c r="AE73" i="11"/>
  <c r="AD73" i="11"/>
  <c r="AC73" i="11"/>
  <c r="AB73" i="11"/>
  <c r="AA73" i="11"/>
  <c r="Z73" i="11"/>
  <c r="Y73" i="11"/>
  <c r="M73" i="11"/>
  <c r="AG72" i="11"/>
  <c r="AI72" i="11" s="1"/>
  <c r="W72" i="11"/>
  <c r="X72" i="11" s="1"/>
  <c r="S72" i="11"/>
  <c r="R72" i="11"/>
  <c r="Q72" i="11"/>
  <c r="L72" i="11"/>
  <c r="N72" i="11" s="1"/>
  <c r="J72" i="11"/>
  <c r="I72" i="11"/>
  <c r="H72" i="11"/>
  <c r="F72" i="11"/>
  <c r="AI71" i="11"/>
  <c r="AG71" i="11"/>
  <c r="X71" i="11"/>
  <c r="W71" i="11"/>
  <c r="U71" i="11"/>
  <c r="R71" i="11"/>
  <c r="Q71" i="11"/>
  <c r="P71" i="11"/>
  <c r="N71" i="11"/>
  <c r="L71" i="11"/>
  <c r="J71" i="11"/>
  <c r="I71" i="11"/>
  <c r="K71" i="11" s="1"/>
  <c r="H71" i="11"/>
  <c r="G71" i="11"/>
  <c r="F71" i="11"/>
  <c r="AK70" i="11"/>
  <c r="AI70" i="11"/>
  <c r="AG70" i="11"/>
  <c r="X70" i="11"/>
  <c r="W70" i="11"/>
  <c r="V70" i="11"/>
  <c r="T70" i="11"/>
  <c r="U70" i="11" s="1"/>
  <c r="R70" i="11"/>
  <c r="S70" i="11" s="1"/>
  <c r="Q70" i="11"/>
  <c r="P70" i="11"/>
  <c r="N70" i="11"/>
  <c r="O70" i="11" s="1"/>
  <c r="K70" i="11"/>
  <c r="J70" i="11"/>
  <c r="I70" i="11"/>
  <c r="H70" i="11"/>
  <c r="G70" i="11"/>
  <c r="F70" i="11"/>
  <c r="B70" i="11"/>
  <c r="AK69" i="11"/>
  <c r="AG69" i="11"/>
  <c r="AI69" i="11" s="1"/>
  <c r="W69" i="11"/>
  <c r="X69" i="11" s="1"/>
  <c r="V69" i="11"/>
  <c r="T69" i="11"/>
  <c r="S69" i="11"/>
  <c r="R69" i="11"/>
  <c r="Q69" i="11"/>
  <c r="N69" i="11"/>
  <c r="J69" i="11"/>
  <c r="I69" i="11"/>
  <c r="H69" i="11"/>
  <c r="F69" i="11"/>
  <c r="E69" i="11"/>
  <c r="D69" i="11"/>
  <c r="B69" i="11"/>
  <c r="AK68" i="11"/>
  <c r="AJ68" i="11"/>
  <c r="AI68" i="11"/>
  <c r="AG68" i="11"/>
  <c r="X68" i="11"/>
  <c r="W68" i="11"/>
  <c r="V68" i="11"/>
  <c r="T68" i="11"/>
  <c r="R68" i="11"/>
  <c r="S68" i="11" s="1"/>
  <c r="Q68" i="11"/>
  <c r="P68" i="11"/>
  <c r="N68" i="11"/>
  <c r="L68" i="11"/>
  <c r="K68" i="11"/>
  <c r="J68" i="11"/>
  <c r="I68" i="11"/>
  <c r="H68" i="11"/>
  <c r="E68" i="11"/>
  <c r="F68" i="11" s="1"/>
  <c r="G68" i="11" s="1"/>
  <c r="D68" i="11"/>
  <c r="C68" i="11"/>
  <c r="B68" i="11"/>
  <c r="AO67" i="11"/>
  <c r="AN67" i="11"/>
  <c r="AM67" i="11"/>
  <c r="AK67" i="11"/>
  <c r="AJ67" i="11"/>
  <c r="AG67" i="11"/>
  <c r="AI67" i="11" s="1"/>
  <c r="AE67" i="11"/>
  <c r="W67" i="11"/>
  <c r="V67" i="11"/>
  <c r="X67" i="11" s="1"/>
  <c r="T67" i="11"/>
  <c r="R67" i="11"/>
  <c r="Q67" i="11"/>
  <c r="N67" i="11"/>
  <c r="O67" i="11" s="1"/>
  <c r="L67" i="11"/>
  <c r="J67" i="11"/>
  <c r="I67" i="11"/>
  <c r="K67" i="11" s="1"/>
  <c r="H67" i="11"/>
  <c r="E67" i="11"/>
  <c r="P67" i="11" s="1"/>
  <c r="D67" i="11"/>
  <c r="F67" i="11" s="1"/>
  <c r="G67" i="11" s="1"/>
  <c r="B67" i="11"/>
  <c r="AO66" i="11"/>
  <c r="AN66" i="11"/>
  <c r="AM66" i="11"/>
  <c r="AK66" i="11"/>
  <c r="AI66" i="11"/>
  <c r="AG66" i="11"/>
  <c r="AE66" i="11"/>
  <c r="AJ66" i="11" s="1"/>
  <c r="W66" i="11"/>
  <c r="X66" i="11" s="1"/>
  <c r="V66" i="11"/>
  <c r="T66" i="11"/>
  <c r="S66" i="11"/>
  <c r="R66" i="11"/>
  <c r="Q66" i="11"/>
  <c r="L66" i="11"/>
  <c r="N66" i="11" s="1"/>
  <c r="J66" i="11"/>
  <c r="I66" i="11"/>
  <c r="H66" i="11"/>
  <c r="F66" i="11"/>
  <c r="E66" i="11"/>
  <c r="D66" i="11"/>
  <c r="C66" i="11"/>
  <c r="B66" i="11"/>
  <c r="AK65" i="11"/>
  <c r="AJ65" i="11"/>
  <c r="AG65" i="11"/>
  <c r="AI65" i="11" s="1"/>
  <c r="W65" i="11"/>
  <c r="X65" i="11" s="1"/>
  <c r="V65" i="11"/>
  <c r="U65" i="11"/>
  <c r="T65" i="11"/>
  <c r="R65" i="11"/>
  <c r="Q65" i="11"/>
  <c r="S65" i="11" s="1"/>
  <c r="L65" i="11"/>
  <c r="J65" i="11"/>
  <c r="I65" i="11"/>
  <c r="H65" i="11"/>
  <c r="K65" i="11" s="1"/>
  <c r="F65" i="11"/>
  <c r="G65" i="11" s="1"/>
  <c r="E65" i="11"/>
  <c r="C65" i="11"/>
  <c r="B65" i="11"/>
  <c r="AG64" i="11"/>
  <c r="AI64" i="11" s="1"/>
  <c r="W64" i="11"/>
  <c r="X64" i="11" s="1"/>
  <c r="S64" i="11"/>
  <c r="R64" i="11"/>
  <c r="Q64" i="11"/>
  <c r="L64" i="11"/>
  <c r="N64" i="11" s="1"/>
  <c r="F64" i="11"/>
  <c r="G64" i="11" s="1"/>
  <c r="AK63" i="11"/>
  <c r="AJ63" i="11"/>
  <c r="AG63" i="11"/>
  <c r="AI63" i="11" s="1"/>
  <c r="W63" i="11"/>
  <c r="X63" i="11" s="1"/>
  <c r="V63" i="11"/>
  <c r="T63" i="11"/>
  <c r="S63" i="11"/>
  <c r="R63" i="11"/>
  <c r="Q63" i="11"/>
  <c r="L63" i="11"/>
  <c r="N63" i="11" s="1"/>
  <c r="J63" i="11"/>
  <c r="I63" i="11"/>
  <c r="H63" i="11"/>
  <c r="F63" i="11"/>
  <c r="E63" i="11"/>
  <c r="D63" i="11"/>
  <c r="B63" i="11"/>
  <c r="AK62" i="11"/>
  <c r="AJ62" i="11"/>
  <c r="AI62" i="11"/>
  <c r="AG62" i="11"/>
  <c r="X62" i="11"/>
  <c r="W62" i="11"/>
  <c r="V62" i="11"/>
  <c r="T62" i="11"/>
  <c r="R62" i="11"/>
  <c r="S62" i="11" s="1"/>
  <c r="Q62" i="11"/>
  <c r="P62" i="11"/>
  <c r="N62" i="11"/>
  <c r="L62" i="11"/>
  <c r="K62" i="11"/>
  <c r="J62" i="11"/>
  <c r="I62" i="11"/>
  <c r="H62" i="11"/>
  <c r="E62" i="11"/>
  <c r="F62" i="11" s="1"/>
  <c r="G62" i="11" s="1"/>
  <c r="D62" i="11"/>
  <c r="C62" i="11"/>
  <c r="B62" i="11"/>
  <c r="AO61" i="11"/>
  <c r="AN61" i="11"/>
  <c r="AM61" i="11"/>
  <c r="AK61" i="11"/>
  <c r="AG61" i="11"/>
  <c r="AI61" i="11" s="1"/>
  <c r="AE61" i="11"/>
  <c r="W61" i="11"/>
  <c r="V61" i="11"/>
  <c r="X61" i="11" s="1"/>
  <c r="T61" i="11"/>
  <c r="R61" i="11"/>
  <c r="Q61" i="11"/>
  <c r="N61" i="11"/>
  <c r="O61" i="11" s="1"/>
  <c r="L61" i="11"/>
  <c r="J61" i="11"/>
  <c r="I61" i="11"/>
  <c r="K61" i="11" s="1"/>
  <c r="H61" i="11"/>
  <c r="E61" i="11"/>
  <c r="P61" i="11" s="1"/>
  <c r="D61" i="11"/>
  <c r="F61" i="11" s="1"/>
  <c r="G61" i="11" s="1"/>
  <c r="B61" i="11"/>
  <c r="AK60" i="11"/>
  <c r="AJ60" i="11"/>
  <c r="AG60" i="11"/>
  <c r="AI60" i="11" s="1"/>
  <c r="W60" i="11"/>
  <c r="X60" i="11" s="1"/>
  <c r="V60" i="11"/>
  <c r="T60" i="11"/>
  <c r="S60" i="11"/>
  <c r="R60" i="11"/>
  <c r="Q60" i="11"/>
  <c r="L60" i="11"/>
  <c r="N60" i="11" s="1"/>
  <c r="J60" i="11"/>
  <c r="I60" i="11"/>
  <c r="H60" i="11"/>
  <c r="F60" i="11"/>
  <c r="AK59" i="11"/>
  <c r="AJ59" i="11"/>
  <c r="AG59" i="11"/>
  <c r="AI59" i="11" s="1"/>
  <c r="W59" i="11"/>
  <c r="X59" i="11" s="1"/>
  <c r="V59" i="11"/>
  <c r="U59" i="11"/>
  <c r="T59" i="11"/>
  <c r="R59" i="11"/>
  <c r="Q59" i="11"/>
  <c r="S59" i="11" s="1"/>
  <c r="L59" i="11"/>
  <c r="J59" i="11"/>
  <c r="I59" i="11"/>
  <c r="H59" i="11"/>
  <c r="K59" i="11" s="1"/>
  <c r="F59" i="11"/>
  <c r="G59" i="11" s="1"/>
  <c r="E59" i="11"/>
  <c r="AL58" i="11"/>
  <c r="AK58" i="11"/>
  <c r="AJ58" i="11"/>
  <c r="AG58" i="11"/>
  <c r="AI58" i="11" s="1"/>
  <c r="W58" i="11"/>
  <c r="X58" i="11" s="1"/>
  <c r="V58" i="11"/>
  <c r="U58" i="11"/>
  <c r="T58" i="11"/>
  <c r="R58" i="11"/>
  <c r="Q58" i="11"/>
  <c r="S58" i="11" s="1"/>
  <c r="L58" i="11"/>
  <c r="J58" i="11"/>
  <c r="I58" i="11"/>
  <c r="H58" i="11"/>
  <c r="K58" i="11" s="1"/>
  <c r="E58" i="11"/>
  <c r="D58" i="11"/>
  <c r="F58" i="11" s="1"/>
  <c r="G58" i="11" s="1"/>
  <c r="AG57" i="11"/>
  <c r="AI57" i="11" s="1"/>
  <c r="W57" i="11"/>
  <c r="R57" i="11"/>
  <c r="Q57" i="11"/>
  <c r="N57" i="11"/>
  <c r="L57" i="11"/>
  <c r="G57" i="11"/>
  <c r="F57" i="11"/>
  <c r="AK56" i="11"/>
  <c r="AJ56" i="11"/>
  <c r="AI56" i="11"/>
  <c r="AG56" i="11"/>
  <c r="W56" i="11"/>
  <c r="V56" i="11"/>
  <c r="X56" i="11" s="1"/>
  <c r="T56" i="11"/>
  <c r="U56" i="11" s="1"/>
  <c r="R56" i="11"/>
  <c r="Q56" i="11"/>
  <c r="S56" i="11" s="1"/>
  <c r="P56" i="11"/>
  <c r="N56" i="11"/>
  <c r="O56" i="11" s="1"/>
  <c r="L56" i="11"/>
  <c r="J56" i="11"/>
  <c r="I56" i="11"/>
  <c r="K56" i="11" s="1"/>
  <c r="H56" i="11"/>
  <c r="G56" i="11"/>
  <c r="F56" i="11"/>
  <c r="AK55" i="11"/>
  <c r="AJ55" i="11"/>
  <c r="AI55" i="11"/>
  <c r="AG55" i="11"/>
  <c r="X55" i="11"/>
  <c r="W55" i="11"/>
  <c r="V55" i="11"/>
  <c r="T55" i="11"/>
  <c r="U55" i="11" s="1"/>
  <c r="R55" i="11"/>
  <c r="S55" i="11" s="1"/>
  <c r="Q55" i="11"/>
  <c r="P55" i="11"/>
  <c r="N55" i="11"/>
  <c r="L55" i="11"/>
  <c r="K55" i="11"/>
  <c r="J55" i="11"/>
  <c r="I55" i="11"/>
  <c r="H55" i="11"/>
  <c r="G55" i="11"/>
  <c r="E55" i="11"/>
  <c r="F55" i="11" s="1"/>
  <c r="D55" i="11"/>
  <c r="AK54" i="11"/>
  <c r="AJ54" i="11"/>
  <c r="AI54" i="11"/>
  <c r="AG54" i="11"/>
  <c r="X54" i="11"/>
  <c r="W54" i="11"/>
  <c r="V54" i="11"/>
  <c r="T54" i="11"/>
  <c r="U54" i="11" s="1"/>
  <c r="R54" i="11"/>
  <c r="S54" i="11" s="1"/>
  <c r="Q54" i="11"/>
  <c r="P54" i="11"/>
  <c r="N54" i="11"/>
  <c r="L54" i="11"/>
  <c r="K54" i="11"/>
  <c r="J54" i="11"/>
  <c r="I54" i="11"/>
  <c r="H54" i="11"/>
  <c r="G54" i="11"/>
  <c r="E54" i="11"/>
  <c r="F54" i="11" s="1"/>
  <c r="D54" i="11"/>
  <c r="AO53" i="11"/>
  <c r="AN53" i="11"/>
  <c r="AM53" i="11"/>
  <c r="AK53" i="11"/>
  <c r="AJ53" i="11"/>
  <c r="AG53" i="11"/>
  <c r="AI53" i="11" s="1"/>
  <c r="AE53" i="11"/>
  <c r="X53" i="11"/>
  <c r="W53" i="11"/>
  <c r="V53" i="11"/>
  <c r="T53" i="11"/>
  <c r="R53" i="11"/>
  <c r="S53" i="11" s="1"/>
  <c r="Q53" i="11"/>
  <c r="P53" i="11"/>
  <c r="N53" i="11"/>
  <c r="L53" i="11"/>
  <c r="K53" i="11"/>
  <c r="J53" i="11"/>
  <c r="I53" i="11"/>
  <c r="H53" i="11"/>
  <c r="E53" i="11"/>
  <c r="F53" i="11" s="1"/>
  <c r="G53" i="11" s="1"/>
  <c r="D53" i="11"/>
  <c r="AO52" i="11"/>
  <c r="AN52" i="11"/>
  <c r="AM52" i="11"/>
  <c r="AK52" i="11"/>
  <c r="AJ52" i="11"/>
  <c r="AG52" i="11"/>
  <c r="AI52" i="11" s="1"/>
  <c r="AE52" i="11"/>
  <c r="X52" i="11"/>
  <c r="W52" i="11"/>
  <c r="V52" i="11"/>
  <c r="T52" i="11"/>
  <c r="U52" i="11" s="1"/>
  <c r="R52" i="11"/>
  <c r="S52" i="11" s="1"/>
  <c r="Q52" i="11"/>
  <c r="P52" i="11"/>
  <c r="N52" i="11"/>
  <c r="L52" i="11"/>
  <c r="K52" i="11"/>
  <c r="J52" i="11"/>
  <c r="I52" i="11"/>
  <c r="H52" i="11"/>
  <c r="E52" i="11"/>
  <c r="F52" i="11" s="1"/>
  <c r="G52" i="11" s="1"/>
  <c r="C52" i="11"/>
  <c r="AK51" i="11"/>
  <c r="AJ51" i="11"/>
  <c r="AI51" i="11"/>
  <c r="AG51" i="11"/>
  <c r="X51" i="11"/>
  <c r="W51" i="11"/>
  <c r="V51" i="11"/>
  <c r="T51" i="11"/>
  <c r="U51" i="11" s="1"/>
  <c r="R51" i="11"/>
  <c r="S51" i="11" s="1"/>
  <c r="Q51" i="11"/>
  <c r="P51" i="11"/>
  <c r="N51" i="11"/>
  <c r="L51" i="11"/>
  <c r="K51" i="11"/>
  <c r="J51" i="11"/>
  <c r="I51" i="11"/>
  <c r="H51" i="11"/>
  <c r="E51" i="11"/>
  <c r="F51" i="11" s="1"/>
  <c r="G51" i="11" s="1"/>
  <c r="AG50" i="11"/>
  <c r="AI50" i="11" s="1"/>
  <c r="W50" i="11"/>
  <c r="X50" i="11" s="1"/>
  <c r="R50" i="11"/>
  <c r="Q50" i="11"/>
  <c r="N50" i="11"/>
  <c r="L50" i="11"/>
  <c r="G50" i="11"/>
  <c r="F50" i="11"/>
  <c r="U50" i="11" s="1"/>
  <c r="AJ49" i="11"/>
  <c r="AG49" i="11"/>
  <c r="AI49" i="11" s="1"/>
  <c r="W49" i="11"/>
  <c r="X49" i="11" s="1"/>
  <c r="V49" i="11"/>
  <c r="U49" i="11"/>
  <c r="T49" i="11"/>
  <c r="R49" i="11"/>
  <c r="Q49" i="11"/>
  <c r="S49" i="11" s="1"/>
  <c r="L49" i="11"/>
  <c r="J49" i="11"/>
  <c r="I49" i="11"/>
  <c r="H49" i="11"/>
  <c r="K49" i="11" s="1"/>
  <c r="F49" i="11"/>
  <c r="G49" i="11" s="1"/>
  <c r="AK48" i="11"/>
  <c r="AJ48" i="11"/>
  <c r="AG48" i="11"/>
  <c r="AI48" i="11" s="1"/>
  <c r="W48" i="11"/>
  <c r="X48" i="11" s="1"/>
  <c r="V48" i="11"/>
  <c r="T48" i="11"/>
  <c r="S48" i="11"/>
  <c r="R48" i="11"/>
  <c r="Q48" i="11"/>
  <c r="L48" i="11"/>
  <c r="N48" i="11" s="1"/>
  <c r="J48" i="11"/>
  <c r="I48" i="11"/>
  <c r="H48" i="11"/>
  <c r="F48" i="11"/>
  <c r="D48" i="11"/>
  <c r="AK47" i="11"/>
  <c r="AJ47" i="11"/>
  <c r="AI47" i="11"/>
  <c r="AG47" i="11"/>
  <c r="W47" i="11"/>
  <c r="V47" i="11"/>
  <c r="X47" i="11" s="1"/>
  <c r="T47" i="11"/>
  <c r="R47" i="11"/>
  <c r="Q47" i="11"/>
  <c r="N47" i="11"/>
  <c r="L47" i="11"/>
  <c r="J47" i="11"/>
  <c r="I47" i="11"/>
  <c r="K47" i="11" s="1"/>
  <c r="H47" i="11"/>
  <c r="E47" i="11"/>
  <c r="P47" i="11" s="1"/>
  <c r="D47" i="11"/>
  <c r="AL46" i="11"/>
  <c r="AL73" i="11" s="1"/>
  <c r="AK46" i="11"/>
  <c r="AJ46" i="11"/>
  <c r="AG46" i="11"/>
  <c r="AI46" i="11" s="1"/>
  <c r="W46" i="11"/>
  <c r="X46" i="11" s="1"/>
  <c r="V46" i="11"/>
  <c r="T46" i="11"/>
  <c r="R46" i="11"/>
  <c r="Q46" i="11"/>
  <c r="S46" i="11" s="1"/>
  <c r="L46" i="11"/>
  <c r="J46" i="11"/>
  <c r="I46" i="11"/>
  <c r="H46" i="11"/>
  <c r="E46" i="11"/>
  <c r="D46" i="11"/>
  <c r="F46" i="11" s="1"/>
  <c r="AK45" i="11"/>
  <c r="AJ45" i="11"/>
  <c r="AG45" i="11"/>
  <c r="AI45" i="11" s="1"/>
  <c r="W45" i="11"/>
  <c r="X45" i="11" s="1"/>
  <c r="V45" i="11"/>
  <c r="T45" i="11"/>
  <c r="S45" i="11"/>
  <c r="R45" i="11"/>
  <c r="Q45" i="11"/>
  <c r="L45" i="11"/>
  <c r="J45" i="11"/>
  <c r="I45" i="11"/>
  <c r="H45" i="11"/>
  <c r="K45" i="11" s="1"/>
  <c r="F45" i="11"/>
  <c r="G45" i="11" s="1"/>
  <c r="E45" i="11"/>
  <c r="D45" i="11"/>
  <c r="B45" i="11"/>
  <c r="AO44" i="11"/>
  <c r="AO73" i="11" s="1"/>
  <c r="AN44" i="11"/>
  <c r="AN73" i="11" s="1"/>
  <c r="AM44" i="11"/>
  <c r="AM73" i="11" s="1"/>
  <c r="AK44" i="11"/>
  <c r="AJ44" i="11"/>
  <c r="AG44" i="11"/>
  <c r="AI44" i="11" s="1"/>
  <c r="AE44" i="11"/>
  <c r="X44" i="11"/>
  <c r="W44" i="11"/>
  <c r="V44" i="11"/>
  <c r="T44" i="11"/>
  <c r="R44" i="11"/>
  <c r="S44" i="11" s="1"/>
  <c r="Q44" i="11"/>
  <c r="N44" i="11"/>
  <c r="L44" i="11"/>
  <c r="K44" i="11"/>
  <c r="J44" i="11"/>
  <c r="I44" i="11"/>
  <c r="H44" i="11"/>
  <c r="E44" i="11"/>
  <c r="D44" i="11"/>
  <c r="C44" i="11"/>
  <c r="C73" i="11" s="1"/>
  <c r="AI43" i="11"/>
  <c r="AG43" i="11"/>
  <c r="W43" i="11"/>
  <c r="S43" i="11"/>
  <c r="R43" i="11"/>
  <c r="Q43" i="11"/>
  <c r="N43" i="11"/>
  <c r="G43" i="11"/>
  <c r="F43" i="11"/>
  <c r="AK42" i="11"/>
  <c r="AJ42" i="11"/>
  <c r="AI42" i="11"/>
  <c r="AI73" i="11" s="1"/>
  <c r="AG42" i="11"/>
  <c r="W42" i="11"/>
  <c r="V42" i="11"/>
  <c r="T42" i="11"/>
  <c r="R42" i="11"/>
  <c r="Q42" i="11"/>
  <c r="Q73" i="11" s="1"/>
  <c r="L42" i="11"/>
  <c r="J42" i="11"/>
  <c r="J73" i="11" s="1"/>
  <c r="I42" i="11"/>
  <c r="H42" i="11"/>
  <c r="D42" i="11"/>
  <c r="D73" i="11" s="1"/>
  <c r="B42" i="11"/>
  <c r="B73" i="11" s="1"/>
  <c r="X36" i="11"/>
  <c r="W36" i="11"/>
  <c r="T36" i="11"/>
  <c r="S36" i="11"/>
  <c r="R36" i="11"/>
  <c r="N36" i="11"/>
  <c r="M36" i="11"/>
  <c r="D36" i="11"/>
  <c r="B36" i="11"/>
  <c r="K35" i="11"/>
  <c r="I35" i="11"/>
  <c r="H35" i="11"/>
  <c r="K34" i="11"/>
  <c r="I34" i="11"/>
  <c r="H34" i="11"/>
  <c r="K33" i="11"/>
  <c r="I33" i="11"/>
  <c r="H33" i="11"/>
  <c r="K32" i="11"/>
  <c r="I32" i="11"/>
  <c r="H32" i="11"/>
  <c r="K31" i="11"/>
  <c r="I31" i="11"/>
  <c r="H31" i="11"/>
  <c r="K30" i="11"/>
  <c r="I30" i="11"/>
  <c r="H30" i="11"/>
  <c r="Q29" i="11"/>
  <c r="R29" i="11" s="1"/>
  <c r="P29" i="11"/>
  <c r="O29" i="11"/>
  <c r="K29" i="11"/>
  <c r="L29" i="11" s="1"/>
  <c r="J29" i="11"/>
  <c r="I29" i="11"/>
  <c r="Q28" i="11"/>
  <c r="R28" i="11" s="1"/>
  <c r="P28" i="11"/>
  <c r="P36" i="11" s="1"/>
  <c r="O28" i="11"/>
  <c r="K28" i="11"/>
  <c r="L28" i="11" s="1"/>
  <c r="J28" i="11"/>
  <c r="I28" i="11"/>
  <c r="H28" i="11"/>
  <c r="C28" i="11"/>
  <c r="C36" i="11" s="1"/>
  <c r="R27" i="11"/>
  <c r="O27" i="11"/>
  <c r="I27" i="11"/>
  <c r="K27" i="11" s="1"/>
  <c r="K26" i="11"/>
  <c r="I26" i="11"/>
  <c r="H26" i="11"/>
  <c r="K25" i="11"/>
  <c r="I25" i="11"/>
  <c r="H25" i="11"/>
  <c r="R24" i="11"/>
  <c r="O24" i="11"/>
  <c r="K24" i="11"/>
  <c r="I24" i="11"/>
  <c r="H24" i="11"/>
  <c r="U23" i="11"/>
  <c r="R23" i="11"/>
  <c r="O23" i="11"/>
  <c r="H23" i="11"/>
  <c r="V22" i="11"/>
  <c r="V36" i="11" s="1"/>
  <c r="U22" i="11"/>
  <c r="R22" i="11"/>
  <c r="O22" i="11"/>
  <c r="H22" i="11"/>
  <c r="V21" i="11"/>
  <c r="U21" i="11"/>
  <c r="R21" i="11"/>
  <c r="O21" i="11"/>
  <c r="H21" i="11"/>
  <c r="R20" i="11"/>
  <c r="O20" i="11"/>
  <c r="K20" i="11"/>
  <c r="I20" i="11"/>
  <c r="U19" i="11"/>
  <c r="R19" i="11"/>
  <c r="O19" i="11"/>
  <c r="H19" i="11"/>
  <c r="U18" i="11"/>
  <c r="R18" i="11"/>
  <c r="O18" i="11"/>
  <c r="H18" i="11"/>
  <c r="U17" i="11"/>
  <c r="R17" i="11"/>
  <c r="O17" i="11"/>
  <c r="H17" i="11"/>
  <c r="U16" i="11"/>
  <c r="Q16" i="11"/>
  <c r="R16" i="11" s="1"/>
  <c r="O16" i="11"/>
  <c r="H16" i="11"/>
  <c r="U15" i="11"/>
  <c r="R15" i="11"/>
  <c r="Q15" i="11"/>
  <c r="O15" i="11"/>
  <c r="H15" i="11"/>
  <c r="U14" i="11"/>
  <c r="R14" i="11"/>
  <c r="O14" i="11"/>
  <c r="H14" i="11"/>
  <c r="R13" i="11"/>
  <c r="O13" i="11"/>
  <c r="I13" i="11"/>
  <c r="K13" i="11" s="1"/>
  <c r="U12" i="11"/>
  <c r="R12" i="11"/>
  <c r="O12" i="11"/>
  <c r="H12" i="11"/>
  <c r="U11" i="11"/>
  <c r="R11" i="11"/>
  <c r="Q11" i="11"/>
  <c r="O11" i="11"/>
  <c r="H11" i="11"/>
  <c r="U10" i="11"/>
  <c r="Q10" i="11"/>
  <c r="Q36" i="11" s="1"/>
  <c r="O10" i="11"/>
  <c r="H10" i="11"/>
  <c r="U9" i="11"/>
  <c r="R9" i="11"/>
  <c r="O9" i="11"/>
  <c r="H9" i="11"/>
  <c r="U8" i="11"/>
  <c r="R8" i="11"/>
  <c r="O8" i="11"/>
  <c r="H8" i="11"/>
  <c r="U7" i="11"/>
  <c r="R7" i="11"/>
  <c r="O7" i="11"/>
  <c r="H7" i="11"/>
  <c r="R6" i="11"/>
  <c r="O6" i="11"/>
  <c r="O36" i="11" s="1"/>
  <c r="L36" i="11"/>
  <c r="K6" i="11"/>
  <c r="I6" i="11"/>
  <c r="I36" i="11" s="1"/>
  <c r="U5" i="11"/>
  <c r="U36" i="11" s="1"/>
  <c r="G36" i="11"/>
  <c r="F36" i="11"/>
  <c r="E36" i="11"/>
  <c r="G46" i="11" l="1"/>
  <c r="U46" i="11"/>
  <c r="O48" i="11"/>
  <c r="N45" i="11"/>
  <c r="O45" i="11" s="1"/>
  <c r="P45" i="11"/>
  <c r="O51" i="11"/>
  <c r="P58" i="11"/>
  <c r="N58" i="11"/>
  <c r="O58" i="11" s="1"/>
  <c r="P59" i="11"/>
  <c r="N59" i="11"/>
  <c r="O59" i="11" s="1"/>
  <c r="P65" i="11"/>
  <c r="N65" i="11"/>
  <c r="O65" i="11" s="1"/>
  <c r="H36" i="11"/>
  <c r="R10" i="11"/>
  <c r="F42" i="11"/>
  <c r="L73" i="11"/>
  <c r="R73" i="11"/>
  <c r="V73" i="11"/>
  <c r="AJ73" i="11"/>
  <c r="U48" i="11"/>
  <c r="G48" i="11"/>
  <c r="S61" i="11"/>
  <c r="S67" i="11"/>
  <c r="S71" i="11"/>
  <c r="U72" i="11"/>
  <c r="G72" i="11"/>
  <c r="J36" i="11"/>
  <c r="K36" i="11" s="1"/>
  <c r="H73" i="11"/>
  <c r="K42" i="11"/>
  <c r="N42" i="11"/>
  <c r="S42" i="11"/>
  <c r="S73" i="11" s="1"/>
  <c r="X42" i="11"/>
  <c r="AK73" i="11"/>
  <c r="U45" i="11"/>
  <c r="N46" i="11"/>
  <c r="O46" i="11" s="1"/>
  <c r="P46" i="11"/>
  <c r="K48" i="11"/>
  <c r="O54" i="11"/>
  <c r="O55" i="11"/>
  <c r="U60" i="11"/>
  <c r="G60" i="11"/>
  <c r="O60" i="11" s="1"/>
  <c r="U63" i="11"/>
  <c r="G63" i="11"/>
  <c r="O63" i="11" s="1"/>
  <c r="U66" i="11"/>
  <c r="G66" i="11"/>
  <c r="O66" i="11" s="1"/>
  <c r="U69" i="11"/>
  <c r="G69" i="11"/>
  <c r="O69" i="11" s="1"/>
  <c r="K72" i="11"/>
  <c r="P49" i="11"/>
  <c r="N49" i="11"/>
  <c r="O49" i="11" s="1"/>
  <c r="O52" i="11"/>
  <c r="I73" i="11"/>
  <c r="T73" i="11"/>
  <c r="AG73" i="11"/>
  <c r="F44" i="11"/>
  <c r="G44" i="11" s="1"/>
  <c r="G73" i="11" s="1"/>
  <c r="E73" i="11"/>
  <c r="P44" i="11"/>
  <c r="K46" i="11"/>
  <c r="F47" i="11"/>
  <c r="G47" i="11" s="1"/>
  <c r="O47" i="11" s="1"/>
  <c r="S47" i="11"/>
  <c r="O53" i="11"/>
  <c r="U53" i="11"/>
  <c r="K60" i="11"/>
  <c r="U61" i="11"/>
  <c r="O62" i="11"/>
  <c r="U62" i="11"/>
  <c r="K63" i="11"/>
  <c r="K66" i="11"/>
  <c r="U67" i="11"/>
  <c r="O68" i="11"/>
  <c r="U68" i="11"/>
  <c r="K69" i="11"/>
  <c r="W73" i="11"/>
  <c r="X73" i="11" s="1"/>
  <c r="P48" i="11"/>
  <c r="P60" i="11"/>
  <c r="P63" i="11"/>
  <c r="U64" i="11"/>
  <c r="P66" i="11"/>
  <c r="P69" i="11"/>
  <c r="P72" i="11"/>
  <c r="N73" i="11" l="1"/>
  <c r="P42" i="11"/>
  <c r="P73" i="11" s="1"/>
  <c r="O42" i="11"/>
  <c r="O73" i="11" s="1"/>
  <c r="F73" i="11"/>
  <c r="U73" i="11" s="1"/>
  <c r="G42" i="11"/>
  <c r="U42" i="11"/>
  <c r="K73" i="11"/>
  <c r="O44" i="11"/>
  <c r="U44" i="11"/>
  <c r="U47" i="11"/>
  <c r="AR73" i="10" l="1"/>
  <c r="AQ73" i="10"/>
  <c r="AP73" i="10"/>
  <c r="AO73" i="10"/>
  <c r="AN73" i="10"/>
  <c r="AF73" i="10"/>
  <c r="AD73" i="10"/>
  <c r="AC73" i="10"/>
  <c r="AB73" i="10"/>
  <c r="AA73" i="10"/>
  <c r="Z73" i="10"/>
  <c r="Y73" i="10"/>
  <c r="X73" i="10"/>
  <c r="W73" i="10"/>
  <c r="K73" i="10"/>
  <c r="AH72" i="10"/>
  <c r="AE72" i="10"/>
  <c r="AG72" i="10" s="1"/>
  <c r="U72" i="10"/>
  <c r="T72" i="10"/>
  <c r="R72" i="10"/>
  <c r="P72" i="10"/>
  <c r="O72" i="10"/>
  <c r="Q72" i="10" s="1"/>
  <c r="L72" i="10"/>
  <c r="N72" i="10" s="1"/>
  <c r="J72" i="10"/>
  <c r="H72" i="10"/>
  <c r="G72" i="10"/>
  <c r="F72" i="10"/>
  <c r="D72" i="10"/>
  <c r="C72" i="10"/>
  <c r="B72" i="10"/>
  <c r="AH71" i="10"/>
  <c r="AG71" i="10"/>
  <c r="AE71" i="10"/>
  <c r="U71" i="10"/>
  <c r="T71" i="10"/>
  <c r="R71" i="10"/>
  <c r="P71" i="10"/>
  <c r="O71" i="10"/>
  <c r="L71" i="10"/>
  <c r="J71" i="10"/>
  <c r="H71" i="10"/>
  <c r="G71" i="10"/>
  <c r="F71" i="10"/>
  <c r="C71" i="10"/>
  <c r="D71" i="10" s="1"/>
  <c r="AI70" i="10"/>
  <c r="AH70" i="10"/>
  <c r="AE70" i="10"/>
  <c r="AG70" i="10" s="1"/>
  <c r="U70" i="10"/>
  <c r="V70" i="10" s="1"/>
  <c r="T70" i="10"/>
  <c r="R70" i="10"/>
  <c r="P70" i="10"/>
  <c r="O70" i="10"/>
  <c r="Q70" i="10" s="1"/>
  <c r="J70" i="10"/>
  <c r="L70" i="10" s="1"/>
  <c r="H70" i="10"/>
  <c r="G70" i="10"/>
  <c r="F70" i="10"/>
  <c r="I70" i="10" s="1"/>
  <c r="C70" i="10"/>
  <c r="D70" i="10" s="1"/>
  <c r="E70" i="10" s="1"/>
  <c r="B70" i="10"/>
  <c r="AI69" i="10"/>
  <c r="AH69" i="10"/>
  <c r="AE69" i="10"/>
  <c r="AG69" i="10" s="1"/>
  <c r="V69" i="10"/>
  <c r="U69" i="10"/>
  <c r="T69" i="10"/>
  <c r="R69" i="10"/>
  <c r="P69" i="10"/>
  <c r="O69" i="10"/>
  <c r="J69" i="10"/>
  <c r="L69" i="10" s="1"/>
  <c r="H69" i="10"/>
  <c r="G69" i="10"/>
  <c r="F69" i="10"/>
  <c r="C69" i="10"/>
  <c r="D69" i="10" s="1"/>
  <c r="E69" i="10" s="1"/>
  <c r="B69" i="10"/>
  <c r="AJ68" i="10"/>
  <c r="AJ73" i="10" s="1"/>
  <c r="AI68" i="10"/>
  <c r="AH68" i="10"/>
  <c r="AG68" i="10"/>
  <c r="AE68" i="10"/>
  <c r="U68" i="10"/>
  <c r="T68" i="10"/>
  <c r="V68" i="10" s="1"/>
  <c r="R68" i="10"/>
  <c r="P68" i="10"/>
  <c r="O68" i="10"/>
  <c r="L68" i="10"/>
  <c r="J68" i="10"/>
  <c r="H68" i="10"/>
  <c r="G68" i="10"/>
  <c r="F68" i="10"/>
  <c r="C68" i="10"/>
  <c r="D68" i="10" s="1"/>
  <c r="B68" i="10"/>
  <c r="B73" i="10" s="1"/>
  <c r="AH67" i="10"/>
  <c r="AE67" i="10"/>
  <c r="AG67" i="10" s="1"/>
  <c r="U67" i="10"/>
  <c r="V67" i="10" s="1"/>
  <c r="P67" i="10"/>
  <c r="O67" i="10"/>
  <c r="J67" i="10"/>
  <c r="L67" i="10" s="1"/>
  <c r="E67" i="10"/>
  <c r="D67" i="10"/>
  <c r="S67" i="10" s="1"/>
  <c r="AH66" i="10"/>
  <c r="AG66" i="10"/>
  <c r="AE66" i="10"/>
  <c r="U66" i="10"/>
  <c r="V66" i="10" s="1"/>
  <c r="S66" i="10"/>
  <c r="P66" i="10"/>
  <c r="O66" i="10"/>
  <c r="L66" i="10"/>
  <c r="J66" i="10"/>
  <c r="D66" i="10"/>
  <c r="E66" i="10" s="1"/>
  <c r="AI65" i="10"/>
  <c r="AH65" i="10"/>
  <c r="AE65" i="10"/>
  <c r="AG65" i="10" s="1"/>
  <c r="U65" i="10"/>
  <c r="V65" i="10" s="1"/>
  <c r="T65" i="10"/>
  <c r="R65" i="10"/>
  <c r="S65" i="10" s="1"/>
  <c r="P65" i="10"/>
  <c r="O65" i="10"/>
  <c r="Q65" i="10" s="1"/>
  <c r="J65" i="10"/>
  <c r="L65" i="10" s="1"/>
  <c r="H65" i="10"/>
  <c r="G65" i="10"/>
  <c r="F65" i="10"/>
  <c r="I65" i="10" s="1"/>
  <c r="E65" i="10"/>
  <c r="D65" i="10"/>
  <c r="C65" i="10"/>
  <c r="AI64" i="10"/>
  <c r="AH64" i="10"/>
  <c r="AG64" i="10"/>
  <c r="AE64" i="10"/>
  <c r="U64" i="10"/>
  <c r="T64" i="10"/>
  <c r="R64" i="10"/>
  <c r="P64" i="10"/>
  <c r="O64" i="10"/>
  <c r="L64" i="10"/>
  <c r="N64" i="10" s="1"/>
  <c r="J64" i="10"/>
  <c r="H64" i="10"/>
  <c r="G64" i="10"/>
  <c r="F64" i="10"/>
  <c r="D64" i="10"/>
  <c r="E64" i="10" s="1"/>
  <c r="M64" i="10" s="1"/>
  <c r="C64" i="10"/>
  <c r="AI63" i="10"/>
  <c r="AH63" i="10"/>
  <c r="AG63" i="10"/>
  <c r="AE63" i="10"/>
  <c r="U63" i="10"/>
  <c r="T63" i="10"/>
  <c r="R63" i="10"/>
  <c r="P63" i="10"/>
  <c r="O63" i="10"/>
  <c r="L63" i="10"/>
  <c r="J63" i="10"/>
  <c r="H63" i="10"/>
  <c r="G63" i="10"/>
  <c r="F63" i="10"/>
  <c r="C63" i="10"/>
  <c r="D63" i="10" s="1"/>
  <c r="AH62" i="10"/>
  <c r="AE62" i="10"/>
  <c r="AG62" i="10" s="1"/>
  <c r="U62" i="10"/>
  <c r="V62" i="10" s="1"/>
  <c r="T62" i="10"/>
  <c r="R62" i="10"/>
  <c r="S62" i="10" s="1"/>
  <c r="P62" i="10"/>
  <c r="O62" i="10"/>
  <c r="J62" i="10"/>
  <c r="L62" i="10" s="1"/>
  <c r="H62" i="10"/>
  <c r="G62" i="10"/>
  <c r="F62" i="10"/>
  <c r="E62" i="10"/>
  <c r="D62" i="10"/>
  <c r="C62" i="10"/>
  <c r="AI61" i="10"/>
  <c r="AH61" i="10"/>
  <c r="AG61" i="10"/>
  <c r="AE61" i="10"/>
  <c r="U61" i="10"/>
  <c r="T61" i="10"/>
  <c r="R61" i="10"/>
  <c r="S61" i="10" s="1"/>
  <c r="P61" i="10"/>
  <c r="O61" i="10"/>
  <c r="M61" i="10"/>
  <c r="L61" i="10"/>
  <c r="N61" i="10" s="1"/>
  <c r="J61" i="10"/>
  <c r="H61" i="10"/>
  <c r="G61" i="10"/>
  <c r="F61" i="10"/>
  <c r="D61" i="10"/>
  <c r="E61" i="10" s="1"/>
  <c r="C61" i="10"/>
  <c r="AH60" i="10"/>
  <c r="AE60" i="10"/>
  <c r="AG60" i="10" s="1"/>
  <c r="U60" i="10"/>
  <c r="V60" i="10" s="1"/>
  <c r="P60" i="10"/>
  <c r="O60" i="10"/>
  <c r="J60" i="10"/>
  <c r="L60" i="10" s="1"/>
  <c r="E60" i="10"/>
  <c r="D60" i="10"/>
  <c r="S60" i="10" s="1"/>
  <c r="AI59" i="10"/>
  <c r="AH59" i="10"/>
  <c r="AG59" i="10"/>
  <c r="AE59" i="10"/>
  <c r="U59" i="10"/>
  <c r="T59" i="10"/>
  <c r="R59" i="10"/>
  <c r="P59" i="10"/>
  <c r="O59" i="10"/>
  <c r="L59" i="10"/>
  <c r="N59" i="10" s="1"/>
  <c r="J59" i="10"/>
  <c r="H59" i="10"/>
  <c r="G59" i="10"/>
  <c r="F59" i="10"/>
  <c r="D59" i="10"/>
  <c r="C59" i="10"/>
  <c r="AM58" i="10"/>
  <c r="AL58" i="10"/>
  <c r="AK58" i="10"/>
  <c r="AI58" i="10"/>
  <c r="AE58" i="10"/>
  <c r="AG58" i="10" s="1"/>
  <c r="AC58" i="10"/>
  <c r="AH58" i="10" s="1"/>
  <c r="U58" i="10"/>
  <c r="T58" i="10"/>
  <c r="R58" i="10"/>
  <c r="P58" i="10"/>
  <c r="O58" i="10"/>
  <c r="L58" i="10"/>
  <c r="J58" i="10"/>
  <c r="I58" i="10"/>
  <c r="H58" i="10"/>
  <c r="G58" i="10"/>
  <c r="F58" i="10"/>
  <c r="C58" i="10"/>
  <c r="D58" i="10" s="1"/>
  <c r="AI57" i="10"/>
  <c r="AH57" i="10"/>
  <c r="AE57" i="10"/>
  <c r="AG57" i="10" s="1"/>
  <c r="U57" i="10"/>
  <c r="V57" i="10" s="1"/>
  <c r="T57" i="10"/>
  <c r="S57" i="10"/>
  <c r="R57" i="10"/>
  <c r="P57" i="10"/>
  <c r="O57" i="10"/>
  <c r="J57" i="10"/>
  <c r="L57" i="10" s="1"/>
  <c r="I57" i="10"/>
  <c r="H57" i="10"/>
  <c r="G57" i="10"/>
  <c r="F57" i="10"/>
  <c r="E57" i="10"/>
  <c r="D57" i="10"/>
  <c r="C57" i="10"/>
  <c r="AI56" i="10"/>
  <c r="AH56" i="10"/>
  <c r="AG56" i="10"/>
  <c r="AE56" i="10"/>
  <c r="U56" i="10"/>
  <c r="V56" i="10" s="1"/>
  <c r="T56" i="10"/>
  <c r="R56" i="10"/>
  <c r="S56" i="10" s="1"/>
  <c r="P56" i="10"/>
  <c r="O56" i="10"/>
  <c r="Q56" i="10" s="1"/>
  <c r="N56" i="10"/>
  <c r="L56" i="10"/>
  <c r="J56" i="10"/>
  <c r="H56" i="10"/>
  <c r="G56" i="10"/>
  <c r="F56" i="10"/>
  <c r="E56" i="10"/>
  <c r="M56" i="10" s="1"/>
  <c r="D56" i="10"/>
  <c r="C56" i="10"/>
  <c r="AI55" i="10"/>
  <c r="AH55" i="10"/>
  <c r="AG55" i="10"/>
  <c r="AE55" i="10"/>
  <c r="Y55" i="10"/>
  <c r="U55" i="10"/>
  <c r="V55" i="10" s="1"/>
  <c r="T55" i="10"/>
  <c r="P55" i="10"/>
  <c r="O55" i="10"/>
  <c r="L55" i="10"/>
  <c r="N55" i="10" s="1"/>
  <c r="J55" i="10"/>
  <c r="H55" i="10"/>
  <c r="G55" i="10"/>
  <c r="F55" i="10"/>
  <c r="D55" i="10"/>
  <c r="C55" i="10"/>
  <c r="AI54" i="10"/>
  <c r="AH54" i="10"/>
  <c r="AG54" i="10"/>
  <c r="AE54" i="10"/>
  <c r="Y54" i="10"/>
  <c r="U54" i="10"/>
  <c r="T54" i="10"/>
  <c r="R54" i="10"/>
  <c r="P54" i="10"/>
  <c r="O54" i="10"/>
  <c r="L54" i="10"/>
  <c r="N54" i="10" s="1"/>
  <c r="J54" i="10"/>
  <c r="H54" i="10"/>
  <c r="G54" i="10"/>
  <c r="F54" i="10"/>
  <c r="D54" i="10"/>
  <c r="C54" i="10"/>
  <c r="AH53" i="10"/>
  <c r="AE53" i="10"/>
  <c r="AG53" i="10" s="1"/>
  <c r="U53" i="10"/>
  <c r="V53" i="10" s="1"/>
  <c r="P53" i="10"/>
  <c r="O53" i="10"/>
  <c r="J53" i="10"/>
  <c r="L53" i="10" s="1"/>
  <c r="E53" i="10"/>
  <c r="D53" i="10"/>
  <c r="S53" i="10" s="1"/>
  <c r="AI52" i="10"/>
  <c r="AH52" i="10"/>
  <c r="AG52" i="10"/>
  <c r="AE52" i="10"/>
  <c r="Y52" i="10"/>
  <c r="U52" i="10"/>
  <c r="V52" i="10" s="1"/>
  <c r="T52" i="10"/>
  <c r="R52" i="10"/>
  <c r="S52" i="10" s="1"/>
  <c r="P52" i="10"/>
  <c r="Q52" i="10" s="1"/>
  <c r="O52" i="10"/>
  <c r="N52" i="10"/>
  <c r="L52" i="10"/>
  <c r="J52" i="10"/>
  <c r="I52" i="10"/>
  <c r="H52" i="10"/>
  <c r="G52" i="10"/>
  <c r="F52" i="10"/>
  <c r="E52" i="10"/>
  <c r="M52" i="10" s="1"/>
  <c r="D52" i="10"/>
  <c r="C52" i="10"/>
  <c r="AM51" i="10"/>
  <c r="AM73" i="10" s="1"/>
  <c r="AL51" i="10"/>
  <c r="AI51" i="10"/>
  <c r="AE51" i="10"/>
  <c r="AG51" i="10" s="1"/>
  <c r="AC51" i="10"/>
  <c r="AH51" i="10" s="1"/>
  <c r="Y51" i="10"/>
  <c r="U51" i="10"/>
  <c r="T51" i="10"/>
  <c r="R51" i="10"/>
  <c r="P51" i="10"/>
  <c r="O51" i="10"/>
  <c r="Q51" i="10" s="1"/>
  <c r="L51" i="10"/>
  <c r="N51" i="10" s="1"/>
  <c r="J51" i="10"/>
  <c r="H51" i="10"/>
  <c r="G51" i="10"/>
  <c r="F51" i="10"/>
  <c r="D51" i="10"/>
  <c r="C51" i="10"/>
  <c r="AI50" i="10"/>
  <c r="AH50" i="10"/>
  <c r="AG50" i="10"/>
  <c r="AE50" i="10"/>
  <c r="U50" i="10"/>
  <c r="T50" i="10"/>
  <c r="R50" i="10"/>
  <c r="P50" i="10"/>
  <c r="O50" i="10"/>
  <c r="Q50" i="10" s="1"/>
  <c r="L50" i="10"/>
  <c r="J50" i="10"/>
  <c r="H50" i="10"/>
  <c r="G50" i="10"/>
  <c r="F50" i="10"/>
  <c r="C50" i="10"/>
  <c r="D50" i="10" s="1"/>
  <c r="AI49" i="10"/>
  <c r="AH49" i="10"/>
  <c r="AE49" i="10"/>
  <c r="AG49" i="10" s="1"/>
  <c r="U49" i="10"/>
  <c r="V49" i="10" s="1"/>
  <c r="T49" i="10"/>
  <c r="S49" i="10"/>
  <c r="R49" i="10"/>
  <c r="P49" i="10"/>
  <c r="O49" i="10"/>
  <c r="Q49" i="10" s="1"/>
  <c r="J49" i="10"/>
  <c r="L49" i="10" s="1"/>
  <c r="H49" i="10"/>
  <c r="G49" i="10"/>
  <c r="F49" i="10"/>
  <c r="E49" i="10"/>
  <c r="D49" i="10"/>
  <c r="C49" i="10"/>
  <c r="C73" i="10" s="1"/>
  <c r="AI48" i="10"/>
  <c r="AH48" i="10"/>
  <c r="AG48" i="10"/>
  <c r="AE48" i="10"/>
  <c r="U48" i="10"/>
  <c r="V48" i="10" s="1"/>
  <c r="T48" i="10"/>
  <c r="R48" i="10"/>
  <c r="S48" i="10" s="1"/>
  <c r="P48" i="10"/>
  <c r="O48" i="10"/>
  <c r="Q48" i="10" s="1"/>
  <c r="N48" i="10"/>
  <c r="L48" i="10"/>
  <c r="J48" i="10"/>
  <c r="H48" i="10"/>
  <c r="G48" i="10"/>
  <c r="F48" i="10"/>
  <c r="E48" i="10"/>
  <c r="M48" i="10" s="1"/>
  <c r="D48" i="10"/>
  <c r="AI47" i="10"/>
  <c r="AH47" i="10"/>
  <c r="AG47" i="10"/>
  <c r="AE47" i="10"/>
  <c r="U47" i="10"/>
  <c r="T47" i="10"/>
  <c r="S47" i="10"/>
  <c r="R47" i="10"/>
  <c r="P47" i="10"/>
  <c r="O47" i="10"/>
  <c r="L47" i="10"/>
  <c r="J47" i="10"/>
  <c r="H47" i="10"/>
  <c r="G47" i="10"/>
  <c r="F47" i="10"/>
  <c r="E47" i="10"/>
  <c r="D47" i="10"/>
  <c r="AH46" i="10"/>
  <c r="AG46" i="10"/>
  <c r="AE46" i="10"/>
  <c r="U46" i="10"/>
  <c r="V46" i="10" s="1"/>
  <c r="S46" i="10"/>
  <c r="P46" i="10"/>
  <c r="O46" i="10"/>
  <c r="L46" i="10"/>
  <c r="J46" i="10"/>
  <c r="D46" i="10"/>
  <c r="E46" i="10" s="1"/>
  <c r="AL45" i="10"/>
  <c r="AK45" i="10"/>
  <c r="AH45" i="10"/>
  <c r="AE45" i="10"/>
  <c r="AG45" i="10" s="1"/>
  <c r="U45" i="10"/>
  <c r="V45" i="10" s="1"/>
  <c r="S45" i="10"/>
  <c r="P45" i="10"/>
  <c r="O45" i="10"/>
  <c r="J45" i="10"/>
  <c r="L45" i="10" s="1"/>
  <c r="E45" i="10"/>
  <c r="D45" i="10"/>
  <c r="AL44" i="10"/>
  <c r="AK44" i="10"/>
  <c r="AK73" i="10" s="1"/>
  <c r="AH44" i="10"/>
  <c r="AE44" i="10"/>
  <c r="AG44" i="10" s="1"/>
  <c r="U44" i="10"/>
  <c r="V44" i="10" s="1"/>
  <c r="T44" i="10"/>
  <c r="S44" i="10"/>
  <c r="R44" i="10"/>
  <c r="R73" i="10" s="1"/>
  <c r="P44" i="10"/>
  <c r="O44" i="10"/>
  <c r="J44" i="10"/>
  <c r="H44" i="10"/>
  <c r="G44" i="10"/>
  <c r="F44" i="10"/>
  <c r="E44" i="10"/>
  <c r="D44" i="10"/>
  <c r="AH43" i="10"/>
  <c r="AG43" i="10"/>
  <c r="AE43" i="10"/>
  <c r="U43" i="10"/>
  <c r="V43" i="10" s="1"/>
  <c r="V73" i="10" s="1"/>
  <c r="S43" i="10"/>
  <c r="P43" i="10"/>
  <c r="O43" i="10"/>
  <c r="M43" i="10"/>
  <c r="L43" i="10"/>
  <c r="AH42" i="10"/>
  <c r="AH73" i="10" s="1"/>
  <c r="AE42" i="10"/>
  <c r="U42" i="10"/>
  <c r="S42" i="10"/>
  <c r="P42" i="10"/>
  <c r="O42" i="10"/>
  <c r="M42" i="10"/>
  <c r="L42" i="10"/>
  <c r="X36" i="10"/>
  <c r="W36" i="10"/>
  <c r="V36" i="10"/>
  <c r="U36" i="10"/>
  <c r="T36" i="10"/>
  <c r="S36" i="10"/>
  <c r="M36" i="10"/>
  <c r="H36" i="10"/>
  <c r="G36" i="10"/>
  <c r="F36" i="10"/>
  <c r="E36" i="10"/>
  <c r="D36" i="10"/>
  <c r="C36" i="10"/>
  <c r="B36" i="10"/>
  <c r="R35" i="10"/>
  <c r="O35" i="10"/>
  <c r="L35" i="10"/>
  <c r="K35" i="10"/>
  <c r="R34" i="10"/>
  <c r="O34" i="10"/>
  <c r="L34" i="10"/>
  <c r="K34" i="10"/>
  <c r="Q33" i="10"/>
  <c r="R33" i="10" s="1"/>
  <c r="O33" i="10"/>
  <c r="J33" i="10"/>
  <c r="K33" i="10" s="1"/>
  <c r="L33" i="10" s="1"/>
  <c r="I33" i="10"/>
  <c r="C33" i="10"/>
  <c r="R32" i="10"/>
  <c r="O32" i="10"/>
  <c r="J32" i="10"/>
  <c r="I32" i="10"/>
  <c r="K32" i="10" s="1"/>
  <c r="L32" i="10" s="1"/>
  <c r="R31" i="10"/>
  <c r="O31" i="10"/>
  <c r="J31" i="10"/>
  <c r="K31" i="10" s="1"/>
  <c r="L31" i="10" s="1"/>
  <c r="I31" i="10"/>
  <c r="C31" i="10"/>
  <c r="K30" i="10"/>
  <c r="K29" i="10"/>
  <c r="S28" i="10"/>
  <c r="R28" i="10"/>
  <c r="O28" i="10"/>
  <c r="L28" i="10"/>
  <c r="K28" i="10"/>
  <c r="R27" i="10"/>
  <c r="O27" i="10"/>
  <c r="L27" i="10"/>
  <c r="K27" i="10"/>
  <c r="R26" i="10"/>
  <c r="O26" i="10"/>
  <c r="L26" i="10"/>
  <c r="K26" i="10"/>
  <c r="J26" i="10"/>
  <c r="R25" i="10"/>
  <c r="O25" i="10"/>
  <c r="J25" i="10"/>
  <c r="K25" i="10" s="1"/>
  <c r="L25" i="10" s="1"/>
  <c r="I25" i="10"/>
  <c r="R24" i="10"/>
  <c r="Q24" i="10"/>
  <c r="N24" i="10"/>
  <c r="N36" i="10" s="1"/>
  <c r="O36" i="10" s="1"/>
  <c r="J24" i="10"/>
  <c r="K24" i="10" s="1"/>
  <c r="L24" i="10" s="1"/>
  <c r="I24" i="10"/>
  <c r="R23" i="10"/>
  <c r="O23" i="10"/>
  <c r="K23" i="10"/>
  <c r="L23" i="10" s="1"/>
  <c r="R22" i="10"/>
  <c r="O22" i="10"/>
  <c r="K22" i="10"/>
  <c r="L22" i="10" s="1"/>
  <c r="R21" i="10"/>
  <c r="O21" i="10"/>
  <c r="K21" i="10"/>
  <c r="L21" i="10" s="1"/>
  <c r="R20" i="10"/>
  <c r="Q20" i="10"/>
  <c r="O20" i="10"/>
  <c r="L20" i="10"/>
  <c r="K20" i="10"/>
  <c r="J20" i="10"/>
  <c r="Q19" i="10"/>
  <c r="R19" i="10" s="1"/>
  <c r="O19" i="10"/>
  <c r="J19" i="10"/>
  <c r="K19" i="10" s="1"/>
  <c r="L19" i="10" s="1"/>
  <c r="R18" i="10"/>
  <c r="O18" i="10"/>
  <c r="K18" i="10"/>
  <c r="L18" i="10" s="1"/>
  <c r="J18" i="10"/>
  <c r="I18" i="10"/>
  <c r="R17" i="10"/>
  <c r="O17" i="10"/>
  <c r="J17" i="10"/>
  <c r="K17" i="10" s="1"/>
  <c r="L17" i="10" s="1"/>
  <c r="I17" i="10"/>
  <c r="R16" i="10"/>
  <c r="O16" i="10"/>
  <c r="K16" i="10"/>
  <c r="L16" i="10" s="1"/>
  <c r="R15" i="10"/>
  <c r="L15" i="10"/>
  <c r="R14" i="10"/>
  <c r="O14" i="10"/>
  <c r="J14" i="10"/>
  <c r="K14" i="10" s="1"/>
  <c r="L14" i="10" s="1"/>
  <c r="I14" i="10"/>
  <c r="R13" i="10"/>
  <c r="O13" i="10"/>
  <c r="K13" i="10"/>
  <c r="L13" i="10" s="1"/>
  <c r="R12" i="10"/>
  <c r="Q12" i="10"/>
  <c r="P12" i="10"/>
  <c r="O12" i="10"/>
  <c r="J12" i="10"/>
  <c r="K12" i="10" s="1"/>
  <c r="L12" i="10" s="1"/>
  <c r="R11" i="10"/>
  <c r="P11" i="10"/>
  <c r="O11" i="10"/>
  <c r="K11" i="10"/>
  <c r="L11" i="10" s="1"/>
  <c r="J11" i="10"/>
  <c r="P10" i="10"/>
  <c r="P36" i="10" s="1"/>
  <c r="O10" i="10"/>
  <c r="L10" i="10"/>
  <c r="K10" i="10"/>
  <c r="R9" i="10"/>
  <c r="O9" i="10"/>
  <c r="L9" i="10"/>
  <c r="K9" i="10"/>
  <c r="R8" i="10"/>
  <c r="O8" i="10"/>
  <c r="L8" i="10"/>
  <c r="K8" i="10"/>
  <c r="S7" i="10"/>
  <c r="R7" i="10"/>
  <c r="O7" i="10"/>
  <c r="J7" i="10"/>
  <c r="J36" i="10" s="1"/>
  <c r="I7" i="10"/>
  <c r="R6" i="10"/>
  <c r="O6" i="10"/>
  <c r="L6" i="10"/>
  <c r="K6" i="10"/>
  <c r="Q61" i="10" l="1"/>
  <c r="I62" i="10"/>
  <c r="Q62" i="10"/>
  <c r="G73" i="10"/>
  <c r="Q55" i="10"/>
  <c r="V59" i="10"/>
  <c r="Q54" i="10"/>
  <c r="Q43" i="10"/>
  <c r="Q45" i="10"/>
  <c r="V51" i="10"/>
  <c r="I56" i="10"/>
  <c r="Q58" i="10"/>
  <c r="Q64" i="10"/>
  <c r="Q67" i="10"/>
  <c r="I71" i="10"/>
  <c r="V71" i="10"/>
  <c r="I72" i="10"/>
  <c r="I48" i="10"/>
  <c r="I49" i="10"/>
  <c r="Q53" i="10"/>
  <c r="Q59" i="10"/>
  <c r="Q60" i="10"/>
  <c r="V61" i="10"/>
  <c r="I63" i="10"/>
  <c r="V63" i="10"/>
  <c r="Q66" i="10"/>
  <c r="U73" i="10"/>
  <c r="I44" i="10"/>
  <c r="Q44" i="10"/>
  <c r="I54" i="10"/>
  <c r="Q47" i="10"/>
  <c r="V47" i="10"/>
  <c r="I50" i="10"/>
  <c r="V50" i="10"/>
  <c r="I51" i="10"/>
  <c r="V54" i="10"/>
  <c r="V72" i="10"/>
  <c r="I68" i="10"/>
  <c r="Q46" i="10"/>
  <c r="Q57" i="10"/>
  <c r="V58" i="10"/>
  <c r="V64" i="10"/>
  <c r="Q68" i="10"/>
  <c r="I69" i="10"/>
  <c r="Q69" i="10"/>
  <c r="K36" i="10"/>
  <c r="L36" i="10" s="1"/>
  <c r="O73" i="10"/>
  <c r="Q42" i="10"/>
  <c r="Q73" i="10" s="1"/>
  <c r="N68" i="10"/>
  <c r="M68" i="10"/>
  <c r="N69" i="10"/>
  <c r="M69" i="10"/>
  <c r="S69" i="10"/>
  <c r="O24" i="10"/>
  <c r="P73" i="10"/>
  <c r="D73" i="10"/>
  <c r="H73" i="10"/>
  <c r="T73" i="10"/>
  <c r="AI73" i="10"/>
  <c r="N58" i="10"/>
  <c r="S63" i="10"/>
  <c r="E63" i="10"/>
  <c r="M65" i="10"/>
  <c r="Q71" i="10"/>
  <c r="N49" i="10"/>
  <c r="M49" i="10"/>
  <c r="N70" i="10"/>
  <c r="M70" i="10"/>
  <c r="S70" i="10"/>
  <c r="K7" i="10"/>
  <c r="L7" i="10" s="1"/>
  <c r="R10" i="10"/>
  <c r="Q36" i="10"/>
  <c r="R36" i="10" s="1"/>
  <c r="L73" i="10"/>
  <c r="S55" i="10"/>
  <c r="E55" i="10"/>
  <c r="M55" i="10" s="1"/>
  <c r="S59" i="10"/>
  <c r="E59" i="10"/>
  <c r="M59" i="10" s="1"/>
  <c r="M62" i="10"/>
  <c r="N63" i="10"/>
  <c r="M63" i="10"/>
  <c r="I64" i="10"/>
  <c r="N65" i="10"/>
  <c r="AE73" i="10"/>
  <c r="AG42" i="10"/>
  <c r="AG73" i="10" s="1"/>
  <c r="N50" i="10"/>
  <c r="N57" i="10"/>
  <c r="M57" i="10"/>
  <c r="N71" i="10"/>
  <c r="I36" i="10"/>
  <c r="F73" i="10"/>
  <c r="J73" i="10"/>
  <c r="L44" i="10"/>
  <c r="S73" i="10"/>
  <c r="AL73" i="10"/>
  <c r="I47" i="10"/>
  <c r="N47" i="10"/>
  <c r="M47" i="10"/>
  <c r="S50" i="10"/>
  <c r="E50" i="10"/>
  <c r="E73" i="10" s="1"/>
  <c r="S51" i="10"/>
  <c r="E51" i="10"/>
  <c r="M51" i="10" s="1"/>
  <c r="S54" i="10"/>
  <c r="E54" i="10"/>
  <c r="M54" i="10" s="1"/>
  <c r="I55" i="10"/>
  <c r="S58" i="10"/>
  <c r="E58" i="10"/>
  <c r="M58" i="10" s="1"/>
  <c r="I59" i="10"/>
  <c r="I61" i="10"/>
  <c r="N62" i="10"/>
  <c r="Q63" i="10"/>
  <c r="S64" i="10"/>
  <c r="S68" i="10"/>
  <c r="E68" i="10"/>
  <c r="S71" i="10"/>
  <c r="E71" i="10"/>
  <c r="M71" i="10" s="1"/>
  <c r="S72" i="10"/>
  <c r="E72" i="10"/>
  <c r="M72" i="10" s="1"/>
  <c r="I73" i="10" l="1"/>
  <c r="N73" i="10"/>
  <c r="M73" i="10"/>
  <c r="M44" i="10"/>
  <c r="N44" i="10"/>
  <c r="M50" i="10"/>
  <c r="N16" i="1" l="1"/>
  <c r="L14" i="1"/>
  <c r="N14" i="1" s="1"/>
  <c r="N13" i="1"/>
  <c r="N11" i="1" l="1"/>
  <c r="N10" i="1"/>
  <c r="D26" i="1" l="1"/>
  <c r="D29" i="1" l="1"/>
  <c r="D28" i="1"/>
  <c r="D22" i="1"/>
  <c r="L22" i="1" s="1"/>
  <c r="M22" i="1" s="1"/>
  <c r="D21" i="1"/>
  <c r="L21" i="1" s="1"/>
  <c r="M21" i="1" s="1"/>
  <c r="D20" i="1"/>
  <c r="L20" i="1" s="1"/>
  <c r="M20" i="1" s="1"/>
  <c r="D11" i="1"/>
  <c r="D9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PDL_09</author>
    <author>yoyo_sup01</author>
    <author>yoyo_c01</author>
  </authors>
  <commentList>
    <comment ref="C5" authorId="0" shapeId="0" xr:uid="{2F4D9213-57D9-4CA9-BBC3-172340DCF80B}">
      <text>
        <r>
          <rPr>
            <b/>
            <sz val="11"/>
            <color indexed="81"/>
            <rFont val="Tahoma"/>
            <family val="2"/>
          </rPr>
          <t>PDL_09
หยอดจาก WDS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BB8DA501-8D4E-405E-BC55-CAB425C5EE3C}">
      <text>
        <r>
          <rPr>
            <b/>
            <sz val="9"/>
            <color indexed="81"/>
            <rFont val="Tahoma"/>
            <family val="2"/>
          </rPr>
          <t>PDL_09:</t>
        </r>
        <r>
          <rPr>
            <sz val="9"/>
            <color indexed="81"/>
            <rFont val="Tahoma"/>
            <family val="2"/>
          </rPr>
          <t xml:space="preserve">
คน*8</t>
        </r>
      </text>
    </comment>
    <comment ref="AJ47" authorId="1" shapeId="0" xr:uid="{4B1F1BD7-300B-43BB-903F-2166DF3497CB}">
      <text>
        <r>
          <rPr>
            <b/>
            <sz val="9"/>
            <color indexed="81"/>
            <rFont val="Tahoma"/>
            <family val="2"/>
          </rPr>
          <t>yoyo_sup01:</t>
        </r>
        <r>
          <rPr>
            <sz val="9"/>
            <color indexed="81"/>
            <rFont val="Tahoma"/>
            <family val="2"/>
          </rPr>
          <t xml:space="preserve">
ซ่อมเครื่อง 4 สายพานลำเลียงเม็ดไม่ทำงาน
</t>
        </r>
      </text>
    </comment>
    <comment ref="Y52" authorId="1" shapeId="0" xr:uid="{83002262-4E2A-4D6D-8353-AF006C18EE23}">
      <text>
        <r>
          <rPr>
            <b/>
            <sz val="9"/>
            <color indexed="81"/>
            <rFont val="Tahoma"/>
            <family val="2"/>
          </rPr>
          <t>yoyo_sup01: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5คนไปโรง 2 ทำของนอก</t>
        </r>
      </text>
    </comment>
    <comment ref="AJ52" authorId="1" shapeId="0" xr:uid="{599ABC29-4C00-412A-A3E2-3F198F8758C3}">
      <text>
        <r>
          <rPr>
            <b/>
            <sz val="9"/>
            <color indexed="81"/>
            <rFont val="Tahoma"/>
            <family val="2"/>
          </rPr>
          <t>yoyo_sup01:</t>
        </r>
        <r>
          <rPr>
            <sz val="9"/>
            <color indexed="81"/>
            <rFont val="Tahoma"/>
            <family val="2"/>
          </rPr>
          <t xml:space="preserve">
NO.2 Morter eeror
</t>
        </r>
      </text>
    </comment>
    <comment ref="AJ58" authorId="2" shapeId="0" xr:uid="{D167BCBD-1A0C-4C3C-B5BB-3050D0FDA8DC}">
      <text>
        <r>
          <rPr>
            <b/>
            <sz val="9"/>
            <color indexed="81"/>
            <rFont val="Tahoma"/>
            <family val="2"/>
          </rPr>
          <t>yoyo_c01:</t>
        </r>
        <r>
          <rPr>
            <sz val="9"/>
            <color indexed="81"/>
            <rFont val="Tahoma"/>
            <family val="2"/>
          </rPr>
          <t xml:space="preserve">
NO.2 สายไฟพันช็อต
</t>
        </r>
      </text>
    </comment>
    <comment ref="AJ67" authorId="1" shapeId="0" xr:uid="{D011EF51-307A-4BF2-B6E2-B0AFC0711498}">
      <text>
        <r>
          <rPr>
            <b/>
            <sz val="9"/>
            <color indexed="81"/>
            <rFont val="Tahoma"/>
            <family val="2"/>
          </rPr>
          <t xml:space="preserve">จับฉลากปีใหม่
</t>
        </r>
      </text>
    </comment>
    <comment ref="AJ68" authorId="1" shapeId="0" xr:uid="{145EB2A1-D31A-4D31-9C38-8B6A86D6A691}">
      <text>
        <r>
          <rPr>
            <b/>
            <sz val="9"/>
            <color indexed="81"/>
            <rFont val="Tahoma"/>
            <family val="2"/>
          </rPr>
          <t xml:space="preserve">ทำความสะอาด
ช่างตัดไฟอาคาร1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PDL_09</author>
    <author>yoyo_c01</author>
    <author>yoyo_sup01</author>
  </authors>
  <commentList>
    <comment ref="C5" authorId="0" shapeId="0" xr:uid="{B9369296-BBDC-4DA7-A5C3-862621C2778A}">
      <text>
        <r>
          <rPr>
            <b/>
            <sz val="11"/>
            <color indexed="81"/>
            <rFont val="Tahoma"/>
            <family val="2"/>
          </rPr>
          <t>PDL_09
หยอดจาก WDS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B8F59A99-1601-42C8-B2B3-5988E2CBE08B}">
      <text>
        <r>
          <rPr>
            <b/>
            <sz val="9"/>
            <color indexed="81"/>
            <rFont val="Tahoma"/>
            <family val="2"/>
          </rPr>
          <t>PDL_09:</t>
        </r>
        <r>
          <rPr>
            <sz val="9"/>
            <color indexed="81"/>
            <rFont val="Tahoma"/>
            <family val="2"/>
          </rPr>
          <t xml:space="preserve">
คน*8</t>
        </r>
      </text>
    </comment>
    <comment ref="AL46" authorId="1" shapeId="0" xr:uid="{0780E5BE-CC39-4B3F-93BC-4BE0BD63D4E4}">
      <text>
        <r>
          <rPr>
            <b/>
            <sz val="9"/>
            <color indexed="81"/>
            <rFont val="Tahoma"/>
            <family val="2"/>
          </rPr>
          <t xml:space="preserve">yoyo_c01: 10.20-12.30 หยุดรอตะกร้า 13.15 หยุดห่อไม่มีตะกร้า
</t>
        </r>
      </text>
    </comment>
    <comment ref="AA52" authorId="2" shapeId="0" xr:uid="{9AC12097-068A-4DDB-BBB6-73149E197922}">
      <text>
        <r>
          <rPr>
            <b/>
            <sz val="9"/>
            <color indexed="81"/>
            <rFont val="Tahoma"/>
            <family val="2"/>
          </rPr>
          <t>yoyo_sup01: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5คนไปโรง 2 ทำของนอก</t>
        </r>
      </text>
    </comment>
    <comment ref="AL58" authorId="1" shapeId="0" xr:uid="{59211166-494B-4C80-8436-9FB2227517B4}">
      <text>
        <r>
          <rPr>
            <b/>
            <sz val="9"/>
            <color indexed="81"/>
            <rFont val="Tahoma"/>
            <family val="2"/>
          </rPr>
          <t>yoyo_c01: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Calibri"/>
            <family val="2"/>
          </rPr>
          <t>หยุดเครื่องรอตะกร้า</t>
        </r>
      </text>
    </comment>
    <comment ref="AL63" authorId="1" shapeId="0" xr:uid="{F4AFC84E-61E3-4322-8F05-9079A4BB9D59}">
      <text>
        <r>
          <rPr>
            <b/>
            <sz val="9"/>
            <color indexed="81"/>
            <rFont val="Tahoma"/>
            <family val="2"/>
          </rPr>
          <t>yoyo_c01: รองานจากโรง2</t>
        </r>
      </text>
    </comment>
    <comment ref="AL65" authorId="1" shapeId="0" xr:uid="{AE5AB112-6040-43D5-8701-F082B0C6DEAC}">
      <text>
        <r>
          <rPr>
            <b/>
            <sz val="9"/>
            <color indexed="81"/>
            <rFont val="Tahoma"/>
            <family val="2"/>
          </rPr>
          <t>yoyo_c01:</t>
        </r>
        <r>
          <rPr>
            <sz val="9"/>
            <color indexed="81"/>
            <rFont val="Tahoma"/>
            <family val="2"/>
          </rPr>
          <t xml:space="preserve">
NO.4 คนคุมเครื่องไปอบรมฮาลาล</t>
        </r>
      </text>
    </comment>
  </commentList>
</comments>
</file>

<file path=xl/sharedStrings.xml><?xml version="1.0" encoding="utf-8"?>
<sst xmlns="http://schemas.openxmlformats.org/spreadsheetml/2006/main" count="576" uniqueCount="139">
  <si>
    <t>Plant :</t>
  </si>
  <si>
    <t>KPIs</t>
  </si>
  <si>
    <t>Productivity</t>
  </si>
  <si>
    <t>OEE (%)</t>
  </si>
  <si>
    <t>Labour productivity : Man-hour/Ton</t>
  </si>
  <si>
    <t>Labour productivity : Man-hour/case</t>
  </si>
  <si>
    <t>Production volume (Tons)</t>
  </si>
  <si>
    <t>Production volume (Cases)</t>
  </si>
  <si>
    <t>Quality</t>
  </si>
  <si>
    <t>Customer complaint (Cases)</t>
  </si>
  <si>
    <t>Cost</t>
  </si>
  <si>
    <t>Product waste (%)</t>
  </si>
  <si>
    <t>Packing material waste (%)</t>
  </si>
  <si>
    <t>Conversion cost (Baht/Ton)</t>
  </si>
  <si>
    <t>Conversion cost (Baht/'000 cases)</t>
  </si>
  <si>
    <t>Electricity consumption (KWH/Ton)</t>
  </si>
  <si>
    <t>LPG consumption (kg LPG/Ton)</t>
  </si>
  <si>
    <t>Water consumption (m3 water/Ton)</t>
  </si>
  <si>
    <t>Delivery</t>
  </si>
  <si>
    <t>Plan attainment (%)</t>
  </si>
  <si>
    <t>Safety&amp;Env</t>
  </si>
  <si>
    <t>Loss time accident (case)</t>
  </si>
  <si>
    <t>Non loss time accident (case)</t>
  </si>
  <si>
    <t>Garbage (kg/week)</t>
  </si>
  <si>
    <t>Waste water generated (m3/week)</t>
  </si>
  <si>
    <t>Morale</t>
  </si>
  <si>
    <t>Absenteeism (% per week)</t>
  </si>
  <si>
    <t>Turn over rate (% per week)</t>
  </si>
  <si>
    <t>2020 Manufacturing KPIs Target - Bang Phli</t>
  </si>
  <si>
    <t>Target</t>
  </si>
  <si>
    <t>Actual</t>
  </si>
  <si>
    <t>Q'4 2020</t>
  </si>
  <si>
    <t>Q'32020</t>
  </si>
  <si>
    <t>Q2'2020</t>
  </si>
  <si>
    <t>Q1'2020</t>
  </si>
  <si>
    <t>2020 Manufacturing Action Plan - Bang Phli</t>
  </si>
  <si>
    <t>Q1' 2020</t>
  </si>
  <si>
    <t>Q3'2020</t>
  </si>
  <si>
    <t>Q4'2020</t>
  </si>
  <si>
    <t>Action Plan</t>
  </si>
  <si>
    <t>Factory 1</t>
  </si>
  <si>
    <t>Output</t>
  </si>
  <si>
    <t>Man</t>
  </si>
  <si>
    <t>%</t>
  </si>
  <si>
    <t xml:space="preserve"> </t>
  </si>
  <si>
    <t>PACK</t>
  </si>
  <si>
    <t>WARP</t>
  </si>
  <si>
    <t>Plan</t>
  </si>
  <si>
    <t>A</t>
  </si>
  <si>
    <t>P</t>
  </si>
  <si>
    <t>Q</t>
  </si>
  <si>
    <t>OEE PK</t>
  </si>
  <si>
    <t>Manhour Pack</t>
  </si>
  <si>
    <t>TIME</t>
  </si>
  <si>
    <t>เม็ดเสีย</t>
  </si>
  <si>
    <t>Foilห่อซอง</t>
  </si>
  <si>
    <t>ถุงพิมพ์</t>
  </si>
  <si>
    <t>ขยะทิ้ง</t>
  </si>
  <si>
    <t>Absent</t>
  </si>
  <si>
    <t>Turnover</t>
  </si>
  <si>
    <t>อัตรา
คงเหลือ(เต็ม 20 คน)</t>
  </si>
  <si>
    <t>M/c</t>
  </si>
  <si>
    <t>Manhour Warp</t>
  </si>
  <si>
    <t>Foil
ห่อเม็ด</t>
  </si>
  <si>
    <t>อัตรา
คงเหลือ(เต็ม 12 คน)</t>
  </si>
  <si>
    <t>หมายเหตุ</t>
  </si>
  <si>
    <t xml:space="preserve"> (Case)</t>
  </si>
  <si>
    <t xml:space="preserve"> (Ton)</t>
  </si>
  <si>
    <t>Man-hr 
(Normal)</t>
  </si>
  <si>
    <t>Man-hr 
O.T</t>
  </si>
  <si>
    <t>Man-hr
 (Total)</t>
  </si>
  <si>
    <t>Man/ton</t>
  </si>
  <si>
    <t>Total time
(Min)</t>
  </si>
  <si>
    <t>Down time
(MIN)</t>
  </si>
  <si>
    <t>Down time</t>
  </si>
  <si>
    <t>Kg.</t>
  </si>
  <si>
    <t>USE</t>
  </si>
  <si>
    <t>Waste</t>
  </si>
  <si>
    <t>Kg</t>
  </si>
  <si>
    <t>จำนวน</t>
  </si>
  <si>
    <t>USE  (Kg)</t>
  </si>
  <si>
    <t>Waste (Kg)</t>
  </si>
  <si>
    <t>kg</t>
  </si>
  <si>
    <t>-</t>
  </si>
  <si>
    <t>YTD</t>
  </si>
  <si>
    <t>Manhour</t>
  </si>
  <si>
    <t xml:space="preserve"> (Kg)</t>
  </si>
  <si>
    <t>x1.05%</t>
  </si>
  <si>
    <t>x0.95%</t>
  </si>
  <si>
    <t>x0.90%</t>
  </si>
  <si>
    <t>x0.50%</t>
  </si>
  <si>
    <t>0 case</t>
  </si>
  <si>
    <t>*0.5%</t>
  </si>
  <si>
    <t>Turn over rate (% per month)</t>
  </si>
  <si>
    <t>Absenteeism (% per month)</t>
  </si>
  <si>
    <t>Waste water generated (m3/Ton)</t>
  </si>
  <si>
    <t>Garbage (kg/Ton Product)</t>
  </si>
  <si>
    <t>Defect (%)</t>
  </si>
  <si>
    <t>2. ทำสายพานเพื่อผ่านเครื่องตรวจจับโลหะลดคน 6 คน</t>
  </si>
  <si>
    <t>1.ระบบสายพานลำเลียงห้องPack ลดคน 2 คน</t>
  </si>
  <si>
    <t>1. บันไดทางขึ้นอาคาร กันฝน</t>
  </si>
  <si>
    <t>1. นำน้ำ จาก Strem tarp กลับมาใช้ (คุณสุนทรช่วย)</t>
  </si>
  <si>
    <t>2.ติดตั้งมิเตอร์วัดน้ำเสีย</t>
  </si>
  <si>
    <t>1. ปรับปรุงห้อง Dry ใหญ่ เพิ่มแอร์และเครื่องความคุมความชื้น</t>
  </si>
  <si>
    <t>1. ระบบเรียงถาดอัตโนมัติ(เครื่องจีน)</t>
  </si>
  <si>
    <t>3. AM WDS และ Chocotech</t>
  </si>
  <si>
    <t>2. AM  Warp และ Pack</t>
  </si>
  <si>
    <t xml:space="preserve">2. จัดทำ WI </t>
  </si>
  <si>
    <t>3หลังคาคลุม ส่วนหยอด</t>
  </si>
  <si>
    <t>2. ระบบระบายอากาศภายในอาคาร</t>
  </si>
  <si>
    <t>4.PM</t>
  </si>
  <si>
    <t>% Defect  Packing</t>
  </si>
  <si>
    <t>% Defect  Product</t>
  </si>
  <si>
    <t>Stit:20.01.2020</t>
  </si>
  <si>
    <t>Jelly waste (%)</t>
  </si>
  <si>
    <t>Start up waste (%)</t>
  </si>
  <si>
    <t>Foil waste (%)</t>
  </si>
  <si>
    <t>Actual
2019</t>
  </si>
  <si>
    <t>Target
2020</t>
  </si>
  <si>
    <t>Jan</t>
  </si>
  <si>
    <t>Feb</t>
  </si>
  <si>
    <t xml:space="preserve">รายงานการผลิต    CHOCOTECH   WDS   OILLING </t>
  </si>
  <si>
    <t xml:space="preserve">OEE </t>
  </si>
  <si>
    <t>เยลลี่เสีย</t>
  </si>
  <si>
    <t>%Wast</t>
  </si>
  <si>
    <t>แป้งเสีย</t>
  </si>
  <si>
    <t>อัตราคงเหลือ</t>
  </si>
  <si>
    <t xml:space="preserve">  เต็ม
28 คน</t>
  </si>
  <si>
    <t>มีการทดลอง</t>
  </si>
  <si>
    <t>ดับไฟ 10.00-13.00</t>
  </si>
  <si>
    <t>Jacn</t>
  </si>
  <si>
    <t>Man/Case</t>
  </si>
  <si>
    <t>Change Product</t>
  </si>
  <si>
    <t>Start up loss</t>
  </si>
  <si>
    <t>อัตรา
คงเหลือ(เต็ม 40 คน)</t>
  </si>
  <si>
    <t xml:space="preserve"> (Case) 5B</t>
  </si>
  <si>
    <t xml:space="preserve"> (Case) 20B</t>
  </si>
  <si>
    <t xml:space="preserve"> (Case)5B</t>
  </si>
  <si>
    <t>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</si>
</sst>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.0%"/>
  </numFmts>
  <fonts count="4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sz val="14"/>
      <name val="Cordia New"/>
      <family val="2"/>
    </font>
    <font>
      <b/>
      <sz val="36"/>
      <color theme="1"/>
      <name val="AngsanaUPC"/>
      <family val="1"/>
    </font>
    <font>
      <b/>
      <sz val="20"/>
      <color indexed="8"/>
      <name val="Angsana New"/>
      <family val="1"/>
    </font>
    <font>
      <b/>
      <sz val="18"/>
      <color indexed="8"/>
      <name val="Angsana New"/>
      <family val="1"/>
    </font>
    <font>
      <b/>
      <sz val="24"/>
      <color indexed="8"/>
      <name val="Angsana New"/>
      <family val="1"/>
    </font>
    <font>
      <b/>
      <sz val="26"/>
      <color indexed="8"/>
      <name val="Angsana New"/>
      <family val="1"/>
    </font>
    <font>
      <b/>
      <sz val="18"/>
      <color rgb="FFFF0000"/>
      <name val="Angsana New"/>
      <family val="1"/>
    </font>
    <font>
      <b/>
      <sz val="22"/>
      <color indexed="8"/>
      <name val="Angsana New"/>
      <family val="1"/>
    </font>
    <font>
      <sz val="20"/>
      <color theme="1"/>
      <name val="Calibri"/>
      <family val="2"/>
      <scheme val="minor"/>
    </font>
    <font>
      <sz val="14"/>
      <color indexed="8"/>
      <name val="AngsanaUPC"/>
      <family val="2"/>
    </font>
    <font>
      <b/>
      <sz val="16"/>
      <color indexed="8"/>
      <name val="Angsana New"/>
      <family val="1"/>
    </font>
    <font>
      <sz val="16"/>
      <color indexed="8"/>
      <name val="Angsana New"/>
      <family val="1"/>
    </font>
    <font>
      <sz val="18"/>
      <color indexed="8"/>
      <name val="Angsana New"/>
      <family val="1"/>
    </font>
    <font>
      <sz val="18"/>
      <color theme="1"/>
      <name val="Angsana New"/>
      <family val="1"/>
    </font>
    <font>
      <sz val="18"/>
      <color theme="2" tint="-0.89999084444715716"/>
      <name val="Angsana New"/>
      <family val="1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6"/>
      <color theme="1"/>
      <name val="Angsana New"/>
      <family val="1"/>
    </font>
    <font>
      <sz val="18"/>
      <color rgb="FFFF0000"/>
      <name val="Angsana New"/>
      <family val="1"/>
    </font>
    <font>
      <sz val="14"/>
      <color theme="1"/>
      <name val="Angsana New"/>
      <family val="2"/>
    </font>
    <font>
      <sz val="11"/>
      <color theme="1"/>
      <name val="Calibri"/>
      <family val="2"/>
      <charset val="222"/>
      <scheme val="minor"/>
    </font>
    <font>
      <sz val="9"/>
      <color indexed="81"/>
      <name val="Tahoma"/>
      <family val="2"/>
    </font>
    <font>
      <sz val="9"/>
      <color theme="9" tint="-0.249977111117893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Angsana New"/>
      <family val="1"/>
    </font>
    <font>
      <b/>
      <sz val="18"/>
      <color theme="0"/>
      <name val="Angsana New"/>
      <family val="1"/>
    </font>
    <font>
      <sz val="18"/>
      <name val="Angsana New"/>
      <family val="1"/>
    </font>
    <font>
      <b/>
      <sz val="18"/>
      <name val="Angsana New"/>
      <family val="1"/>
    </font>
    <font>
      <sz val="11"/>
      <name val="Calibri"/>
      <family val="2"/>
      <scheme val="minor"/>
    </font>
    <font>
      <b/>
      <sz val="11"/>
      <color indexed="81"/>
      <name val="Tahoma"/>
      <family val="2"/>
    </font>
    <font>
      <sz val="10"/>
      <color indexed="81"/>
      <name val="Tahoma"/>
      <family val="2"/>
    </font>
    <font>
      <sz val="11"/>
      <color rgb="FFFF0000"/>
      <name val="Calibri"/>
      <family val="2"/>
      <scheme val="minor"/>
    </font>
    <font>
      <sz val="14"/>
      <color indexed="8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9.9978637043366805E-2"/>
      </bottom>
      <diagonal/>
    </border>
  </borders>
  <cellStyleXfs count="11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164" fontId="17" fillId="0" borderId="0" applyFont="0" applyFill="0" applyBorder="0" applyAlignment="0" applyProtection="0"/>
    <xf numFmtId="0" fontId="1" fillId="0" borderId="0"/>
    <xf numFmtId="164" fontId="24" fillId="0" borderId="0" applyFont="0" applyFill="0" applyBorder="0" applyAlignment="0" applyProtection="0"/>
    <xf numFmtId="0" fontId="27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420">
    <xf numFmtId="0" fontId="0" fillId="0" borderId="0" xfId="0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8" xfId="0" applyBorder="1"/>
    <xf numFmtId="0" fontId="0" fillId="0" borderId="2" xfId="0" applyBorder="1"/>
    <xf numFmtId="0" fontId="0" fillId="0" borderId="7" xfId="0" applyBorder="1" applyAlignment="1">
      <alignment horizontal="left"/>
    </xf>
    <xf numFmtId="0" fontId="0" fillId="0" borderId="3" xfId="0" applyBorder="1"/>
    <xf numFmtId="0" fontId="0" fillId="0" borderId="7" xfId="0" applyBorder="1"/>
    <xf numFmtId="0" fontId="4" fillId="0" borderId="0" xfId="0" applyFont="1"/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7" fillId="0" borderId="5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9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8" xfId="0" applyFont="1" applyBorder="1"/>
    <xf numFmtId="0" fontId="5" fillId="0" borderId="0" xfId="0" applyFont="1"/>
    <xf numFmtId="0" fontId="1" fillId="2" borderId="0" xfId="5" applyFill="1"/>
    <xf numFmtId="0" fontId="25" fillId="2" borderId="0" xfId="5" applyFont="1" applyFill="1"/>
    <xf numFmtId="165" fontId="20" fillId="0" borderId="8" xfId="6" applyNumberFormat="1" applyFont="1" applyFill="1" applyBorder="1" applyAlignment="1">
      <alignment horizontal="center"/>
    </xf>
    <xf numFmtId="0" fontId="20" fillId="2" borderId="0" xfId="5" applyFont="1" applyFill="1"/>
    <xf numFmtId="2" fontId="20" fillId="2" borderId="0" xfId="5" applyNumberFormat="1" applyFont="1" applyFill="1"/>
    <xf numFmtId="9" fontId="0" fillId="0" borderId="9" xfId="0" quotePrefix="1" applyNumberFormat="1" applyBorder="1"/>
    <xf numFmtId="9" fontId="0" fillId="0" borderId="7" xfId="0" applyNumberFormat="1" applyBorder="1"/>
    <xf numFmtId="9" fontId="0" fillId="0" borderId="9" xfId="0" applyNumberFormat="1" applyBorder="1"/>
    <xf numFmtId="0" fontId="6" fillId="10" borderId="1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5" xfId="0" applyFont="1" applyFill="1" applyBorder="1"/>
    <xf numFmtId="0" fontId="6" fillId="10" borderId="12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2" xfId="0" applyFont="1" applyFill="1" applyBorder="1"/>
    <xf numFmtId="2" fontId="0" fillId="0" borderId="0" xfId="0" applyNumberFormat="1"/>
    <xf numFmtId="2" fontId="0" fillId="0" borderId="9" xfId="0" applyNumberFormat="1" applyBorder="1"/>
    <xf numFmtId="165" fontId="0" fillId="0" borderId="9" xfId="8" applyNumberFormat="1" applyFont="1" applyBorder="1"/>
    <xf numFmtId="164" fontId="0" fillId="0" borderId="9" xfId="0" applyNumberFormat="1" applyBorder="1"/>
    <xf numFmtId="167" fontId="0" fillId="0" borderId="9" xfId="9" applyNumberFormat="1" applyFont="1" applyBorder="1"/>
    <xf numFmtId="165" fontId="0" fillId="0" borderId="9" xfId="0" applyNumberFormat="1" applyBorder="1"/>
    <xf numFmtId="2" fontId="0" fillId="0" borderId="7" xfId="0" applyNumberFormat="1" applyBorder="1"/>
    <xf numFmtId="1" fontId="0" fillId="0" borderId="9" xfId="0" applyNumberFormat="1" applyBorder="1"/>
    <xf numFmtId="0" fontId="0" fillId="0" borderId="9" xfId="0" applyFill="1" applyBorder="1"/>
    <xf numFmtId="1" fontId="0" fillId="0" borderId="0" xfId="0" applyNumberFormat="1"/>
    <xf numFmtId="167" fontId="0" fillId="0" borderId="0" xfId="0" applyNumberFormat="1"/>
    <xf numFmtId="165" fontId="0" fillId="0" borderId="0" xfId="0" applyNumberFormat="1" applyBorder="1"/>
    <xf numFmtId="2" fontId="0" fillId="0" borderId="0" xfId="0" applyNumberFormat="1" applyBorder="1"/>
    <xf numFmtId="2" fontId="0" fillId="0" borderId="9" xfId="0" applyNumberFormat="1" applyFill="1" applyBorder="1"/>
    <xf numFmtId="1" fontId="0" fillId="0" borderId="0" xfId="0" applyNumberFormat="1" applyBorder="1"/>
    <xf numFmtId="1" fontId="0" fillId="0" borderId="9" xfId="0" applyNumberFormat="1" applyFill="1" applyBorder="1"/>
    <xf numFmtId="9" fontId="0" fillId="0" borderId="4" xfId="0" quotePrefix="1" applyNumberFormat="1" applyBorder="1"/>
    <xf numFmtId="167" fontId="0" fillId="0" borderId="0" xfId="0" applyNumberFormat="1" applyBorder="1"/>
    <xf numFmtId="167" fontId="0" fillId="0" borderId="9" xfId="0" applyNumberFormat="1" applyBorder="1"/>
    <xf numFmtId="0" fontId="0" fillId="0" borderId="0" xfId="0" applyFill="1" applyBorder="1"/>
    <xf numFmtId="0" fontId="30" fillId="0" borderId="0" xfId="0" applyFont="1"/>
    <xf numFmtId="0" fontId="1" fillId="2" borderId="0" xfId="5" applyFill="1" applyAlignment="1">
      <alignment horizontal="center" vertical="center"/>
    </xf>
    <xf numFmtId="0" fontId="0" fillId="0" borderId="42" xfId="0" applyBorder="1"/>
    <xf numFmtId="0" fontId="32" fillId="22" borderId="26" xfId="5" applyFont="1" applyFill="1" applyBorder="1" applyAlignment="1">
      <alignment horizontal="center" vertical="center" wrapText="1"/>
    </xf>
    <xf numFmtId="0" fontId="11" fillId="19" borderId="27" xfId="5" applyFont="1" applyFill="1" applyBorder="1" applyAlignment="1">
      <alignment horizontal="center" vertical="center"/>
    </xf>
    <xf numFmtId="0" fontId="10" fillId="20" borderId="27" xfId="5" applyFont="1" applyFill="1" applyBorder="1" applyAlignment="1">
      <alignment horizontal="center" vertical="center"/>
    </xf>
    <xf numFmtId="0" fontId="11" fillId="20" borderId="27" xfId="5" applyFont="1" applyFill="1" applyBorder="1" applyAlignment="1">
      <alignment horizontal="center" vertical="center"/>
    </xf>
    <xf numFmtId="0" fontId="11" fillId="7" borderId="27" xfId="5" applyFont="1" applyFill="1" applyBorder="1" applyAlignment="1">
      <alignment horizontal="center" vertical="center"/>
    </xf>
    <xf numFmtId="0" fontId="14" fillId="21" borderId="18" xfId="5" applyFont="1" applyFill="1" applyBorder="1" applyAlignment="1">
      <alignment horizontal="center" vertical="center"/>
    </xf>
    <xf numFmtId="2" fontId="14" fillId="16" borderId="18" xfId="5" applyNumberFormat="1" applyFont="1" applyFill="1" applyBorder="1" applyAlignment="1">
      <alignment horizontal="center" vertical="center"/>
    </xf>
    <xf numFmtId="0" fontId="14" fillId="16" borderId="18" xfId="5" applyFont="1" applyFill="1" applyBorder="1" applyAlignment="1">
      <alignment horizontal="center" vertical="center"/>
    </xf>
    <xf numFmtId="0" fontId="14" fillId="10" borderId="18" xfId="5" applyFont="1" applyFill="1" applyBorder="1" applyAlignment="1">
      <alignment horizontal="center" vertical="center"/>
    </xf>
    <xf numFmtId="0" fontId="14" fillId="10" borderId="27" xfId="5" applyFont="1" applyFill="1" applyBorder="1" applyAlignment="1">
      <alignment horizontal="center" vertical="center"/>
    </xf>
    <xf numFmtId="0" fontId="11" fillId="17" borderId="16" xfId="5" applyFont="1" applyFill="1" applyBorder="1" applyAlignment="1">
      <alignment horizontal="center" vertical="center" wrapText="1"/>
    </xf>
    <xf numFmtId="0" fontId="33" fillId="22" borderId="30" xfId="5" applyFont="1" applyFill="1" applyBorder="1" applyAlignment="1">
      <alignment horizontal="center" vertical="center"/>
    </xf>
    <xf numFmtId="165" fontId="19" fillId="2" borderId="24" xfId="6" applyNumberFormat="1" applyFont="1" applyFill="1" applyBorder="1" applyAlignment="1">
      <alignment horizontal="center" vertical="center"/>
    </xf>
    <xf numFmtId="165" fontId="19" fillId="2" borderId="24" xfId="6" applyNumberFormat="1" applyFont="1" applyFill="1" applyBorder="1" applyAlignment="1">
      <alignment horizontal="center" wrapText="1"/>
    </xf>
    <xf numFmtId="2" fontId="19" fillId="2" borderId="31" xfId="5" applyNumberFormat="1" applyFont="1" applyFill="1" applyBorder="1" applyAlignment="1">
      <alignment horizontal="center" vertical="center"/>
    </xf>
    <xf numFmtId="2" fontId="19" fillId="2" borderId="24" xfId="5" applyNumberFormat="1" applyFont="1" applyFill="1" applyBorder="1" applyAlignment="1">
      <alignment horizontal="center" wrapText="1"/>
    </xf>
    <xf numFmtId="2" fontId="19" fillId="16" borderId="24" xfId="5" applyNumberFormat="1" applyFont="1" applyFill="1" applyBorder="1" applyAlignment="1">
      <alignment horizontal="center" vertical="center" wrapText="1"/>
    </xf>
    <xf numFmtId="2" fontId="19" fillId="10" borderId="24" xfId="5" applyNumberFormat="1" applyFont="1" applyFill="1" applyBorder="1" applyAlignment="1">
      <alignment horizontal="center" vertical="center" wrapText="1"/>
    </xf>
    <xf numFmtId="0" fontId="11" fillId="17" borderId="22" xfId="5" applyFont="1" applyFill="1" applyBorder="1" applyAlignment="1">
      <alignment horizontal="center" vertical="center" wrapText="1"/>
    </xf>
    <xf numFmtId="0" fontId="25" fillId="2" borderId="21" xfId="5" applyFont="1" applyFill="1" applyBorder="1"/>
    <xf numFmtId="0" fontId="25" fillId="2" borderId="23" xfId="5" applyFont="1" applyFill="1" applyBorder="1"/>
    <xf numFmtId="0" fontId="25" fillId="2" borderId="32" xfId="5" applyFont="1" applyFill="1" applyBorder="1"/>
    <xf numFmtId="0" fontId="20" fillId="2" borderId="43" xfId="5" applyFont="1" applyFill="1" applyBorder="1" applyAlignment="1">
      <alignment horizontal="center"/>
    </xf>
    <xf numFmtId="0" fontId="11" fillId="2" borderId="43" xfId="6" applyNumberFormat="1" applyFont="1" applyFill="1" applyBorder="1" applyAlignment="1">
      <alignment horizontal="center" vertical="center"/>
    </xf>
    <xf numFmtId="0" fontId="20" fillId="0" borderId="43" xfId="6" applyNumberFormat="1" applyFont="1" applyFill="1" applyBorder="1" applyAlignment="1">
      <alignment horizontal="center" vertical="center"/>
    </xf>
    <xf numFmtId="0" fontId="20" fillId="2" borderId="43" xfId="6" applyNumberFormat="1" applyFont="1" applyFill="1" applyBorder="1" applyAlignment="1">
      <alignment horizontal="center" vertical="center"/>
    </xf>
    <xf numFmtId="9" fontId="20" fillId="2" borderId="44" xfId="10" applyFont="1" applyFill="1" applyBorder="1" applyAlignment="1">
      <alignment horizontal="center" vertical="center"/>
    </xf>
    <xf numFmtId="0" fontId="21" fillId="2" borderId="44" xfId="6" applyNumberFormat="1" applyFont="1" applyFill="1" applyBorder="1" applyAlignment="1">
      <alignment horizontal="center" vertical="center"/>
    </xf>
    <xf numFmtId="0" fontId="20" fillId="2" borderId="43" xfId="5" applyFont="1" applyFill="1" applyBorder="1" applyAlignment="1">
      <alignment horizontal="center" vertical="center"/>
    </xf>
    <xf numFmtId="168" fontId="20" fillId="2" borderId="43" xfId="10" applyNumberFormat="1" applyFont="1" applyFill="1" applyBorder="1" applyAlignment="1">
      <alignment horizontal="center" vertical="center"/>
    </xf>
    <xf numFmtId="2" fontId="20" fillId="2" borderId="43" xfId="5" applyNumberFormat="1" applyFont="1" applyFill="1" applyBorder="1" applyAlignment="1">
      <alignment horizontal="center" vertical="center"/>
    </xf>
    <xf numFmtId="0" fontId="20" fillId="2" borderId="45" xfId="5" applyFont="1" applyFill="1" applyBorder="1" applyAlignment="1">
      <alignment horizontal="center" vertical="center"/>
    </xf>
    <xf numFmtId="0" fontId="1" fillId="2" borderId="46" xfId="5" applyFill="1" applyBorder="1"/>
    <xf numFmtId="0" fontId="1" fillId="2" borderId="47" xfId="5" applyFill="1" applyBorder="1"/>
    <xf numFmtId="0" fontId="1" fillId="2" borderId="48" xfId="5" applyFill="1" applyBorder="1"/>
    <xf numFmtId="0" fontId="20" fillId="2" borderId="49" xfId="5" applyFont="1" applyFill="1" applyBorder="1" applyAlignment="1">
      <alignment horizontal="center"/>
    </xf>
    <xf numFmtId="165" fontId="11" fillId="2" borderId="49" xfId="6" applyNumberFormat="1" applyFont="1" applyFill="1" applyBorder="1" applyAlignment="1">
      <alignment horizontal="center"/>
    </xf>
    <xf numFmtId="165" fontId="20" fillId="0" borderId="49" xfId="6" applyNumberFormat="1" applyFont="1" applyFill="1" applyBorder="1" applyAlignment="1">
      <alignment horizontal="center"/>
    </xf>
    <xf numFmtId="166" fontId="20" fillId="0" borderId="49" xfId="6" applyNumberFormat="1" applyFont="1" applyFill="1" applyBorder="1" applyAlignment="1">
      <alignment horizontal="center"/>
    </xf>
    <xf numFmtId="165" fontId="21" fillId="2" borderId="37" xfId="6" applyNumberFormat="1" applyFont="1" applyFill="1" applyBorder="1"/>
    <xf numFmtId="165" fontId="20" fillId="2" borderId="49" xfId="6" applyNumberFormat="1" applyFont="1" applyFill="1" applyBorder="1" applyAlignment="1">
      <alignment horizontal="center"/>
    </xf>
    <xf numFmtId="2" fontId="20" fillId="2" borderId="49" xfId="5" applyNumberFormat="1" applyFont="1" applyFill="1" applyBorder="1" applyAlignment="1">
      <alignment horizontal="center"/>
    </xf>
    <xf numFmtId="1" fontId="20" fillId="2" borderId="49" xfId="5" applyNumberFormat="1" applyFont="1" applyFill="1" applyBorder="1" applyAlignment="1">
      <alignment horizontal="center"/>
    </xf>
    <xf numFmtId="10" fontId="20" fillId="2" borderId="49" xfId="5" applyNumberFormat="1" applyFont="1" applyFill="1" applyBorder="1" applyAlignment="1">
      <alignment horizontal="center"/>
    </xf>
    <xf numFmtId="1" fontId="20" fillId="2" borderId="50" xfId="5" applyNumberFormat="1" applyFont="1" applyFill="1" applyBorder="1" applyAlignment="1">
      <alignment horizontal="center"/>
    </xf>
    <xf numFmtId="0" fontId="1" fillId="2" borderId="36" xfId="5" applyFill="1" applyBorder="1"/>
    <xf numFmtId="0" fontId="1" fillId="2" borderId="37" xfId="5" applyFill="1" applyBorder="1"/>
    <xf numFmtId="0" fontId="1" fillId="2" borderId="38" xfId="5" applyFill="1" applyBorder="1"/>
    <xf numFmtId="166" fontId="20" fillId="2" borderId="49" xfId="6" applyNumberFormat="1" applyFont="1" applyFill="1" applyBorder="1" applyAlignment="1">
      <alignment horizontal="center"/>
    </xf>
    <xf numFmtId="165" fontId="20" fillId="2" borderId="51" xfId="6" applyNumberFormat="1" applyFont="1" applyFill="1" applyBorder="1" applyAlignment="1">
      <alignment horizontal="center"/>
    </xf>
    <xf numFmtId="165" fontId="34" fillId="0" borderId="51" xfId="6" applyNumberFormat="1" applyFont="1" applyFill="1" applyBorder="1" applyAlignment="1">
      <alignment horizontal="center"/>
    </xf>
    <xf numFmtId="165" fontId="34" fillId="0" borderId="49" xfId="6" applyNumberFormat="1" applyFont="1" applyFill="1" applyBorder="1" applyAlignment="1">
      <alignment horizontal="center"/>
    </xf>
    <xf numFmtId="1" fontId="20" fillId="0" borderId="49" xfId="5" applyNumberFormat="1" applyFont="1" applyBorder="1" applyAlignment="1">
      <alignment horizontal="center"/>
    </xf>
    <xf numFmtId="2" fontId="20" fillId="0" borderId="49" xfId="5" applyNumberFormat="1" applyFont="1" applyBorder="1" applyAlignment="1">
      <alignment horizontal="center"/>
    </xf>
    <xf numFmtId="1" fontId="20" fillId="0" borderId="50" xfId="5" applyNumberFormat="1" applyFont="1" applyBorder="1" applyAlignment="1">
      <alignment horizontal="center"/>
    </xf>
    <xf numFmtId="0" fontId="20" fillId="18" borderId="49" xfId="5" applyFont="1" applyFill="1" applyBorder="1" applyAlignment="1">
      <alignment horizontal="center"/>
    </xf>
    <xf numFmtId="165" fontId="11" fillId="18" borderId="49" xfId="6" applyNumberFormat="1" applyFont="1" applyFill="1" applyBorder="1" applyAlignment="1">
      <alignment horizontal="center"/>
    </xf>
    <xf numFmtId="165" fontId="20" fillId="18" borderId="49" xfId="6" applyNumberFormat="1" applyFont="1" applyFill="1" applyBorder="1" applyAlignment="1">
      <alignment horizontal="center"/>
    </xf>
    <xf numFmtId="166" fontId="20" fillId="18" borderId="49" xfId="6" applyNumberFormat="1" applyFont="1" applyFill="1" applyBorder="1" applyAlignment="1">
      <alignment horizontal="center"/>
    </xf>
    <xf numFmtId="2" fontId="20" fillId="18" borderId="49" xfId="5" applyNumberFormat="1" applyFont="1" applyFill="1" applyBorder="1" applyAlignment="1">
      <alignment horizontal="center"/>
    </xf>
    <xf numFmtId="1" fontId="20" fillId="18" borderId="49" xfId="5" applyNumberFormat="1" applyFont="1" applyFill="1" applyBorder="1" applyAlignment="1">
      <alignment horizontal="center"/>
    </xf>
    <xf numFmtId="10" fontId="20" fillId="18" borderId="49" xfId="5" applyNumberFormat="1" applyFont="1" applyFill="1" applyBorder="1" applyAlignment="1">
      <alignment horizontal="center"/>
    </xf>
    <xf numFmtId="1" fontId="20" fillId="18" borderId="50" xfId="5" applyNumberFormat="1" applyFont="1" applyFill="1" applyBorder="1" applyAlignment="1">
      <alignment horizontal="center"/>
    </xf>
    <xf numFmtId="0" fontId="1" fillId="18" borderId="36" xfId="5" applyFill="1" applyBorder="1"/>
    <xf numFmtId="0" fontId="1" fillId="18" borderId="37" xfId="5" applyFill="1" applyBorder="1"/>
    <xf numFmtId="0" fontId="1" fillId="18" borderId="38" xfId="5" applyFill="1" applyBorder="1"/>
    <xf numFmtId="165" fontId="20" fillId="2" borderId="49" xfId="6" applyNumberFormat="1" applyFont="1" applyFill="1" applyBorder="1" applyAlignment="1">
      <alignment vertical="center"/>
    </xf>
    <xf numFmtId="1" fontId="20" fillId="2" borderId="49" xfId="5" applyNumberFormat="1" applyFont="1" applyFill="1" applyBorder="1" applyAlignment="1">
      <alignment vertical="center"/>
    </xf>
    <xf numFmtId="2" fontId="20" fillId="2" borderId="49" xfId="5" applyNumberFormat="1" applyFont="1" applyFill="1" applyBorder="1" applyAlignment="1">
      <alignment horizontal="center" vertical="center"/>
    </xf>
    <xf numFmtId="0" fontId="34" fillId="2" borderId="49" xfId="5" applyFont="1" applyFill="1" applyBorder="1" applyAlignment="1">
      <alignment horizontal="center"/>
    </xf>
    <xf numFmtId="165" fontId="35" fillId="2" borderId="49" xfId="6" applyNumberFormat="1" applyFont="1" applyFill="1" applyBorder="1" applyAlignment="1">
      <alignment horizontal="center"/>
    </xf>
    <xf numFmtId="165" fontId="34" fillId="2" borderId="49" xfId="6" applyNumberFormat="1" applyFont="1" applyFill="1" applyBorder="1" applyAlignment="1">
      <alignment horizontal="center"/>
    </xf>
    <xf numFmtId="166" fontId="34" fillId="2" borderId="49" xfId="6" applyNumberFormat="1" applyFont="1" applyFill="1" applyBorder="1" applyAlignment="1">
      <alignment horizontal="center"/>
    </xf>
    <xf numFmtId="2" fontId="34" fillId="2" borderId="49" xfId="5" applyNumberFormat="1" applyFont="1" applyFill="1" applyBorder="1" applyAlignment="1">
      <alignment horizontal="center"/>
    </xf>
    <xf numFmtId="165" fontId="34" fillId="2" borderId="49" xfId="6" applyNumberFormat="1" applyFont="1" applyFill="1" applyBorder="1" applyAlignment="1">
      <alignment vertical="center"/>
    </xf>
    <xf numFmtId="10" fontId="34" fillId="2" borderId="49" xfId="5" applyNumberFormat="1" applyFont="1" applyFill="1" applyBorder="1" applyAlignment="1">
      <alignment horizontal="center"/>
    </xf>
    <xf numFmtId="2" fontId="34" fillId="2" borderId="49" xfId="6" applyNumberFormat="1" applyFont="1" applyFill="1" applyBorder="1" applyAlignment="1">
      <alignment horizontal="center" vertical="center"/>
    </xf>
    <xf numFmtId="1" fontId="34" fillId="2" borderId="49" xfId="6" applyNumberFormat="1" applyFont="1" applyFill="1" applyBorder="1" applyAlignment="1">
      <alignment horizontal="center"/>
    </xf>
    <xf numFmtId="1" fontId="34" fillId="2" borderId="50" xfId="6" applyNumberFormat="1" applyFont="1" applyFill="1" applyBorder="1" applyAlignment="1">
      <alignment horizontal="center"/>
    </xf>
    <xf numFmtId="0" fontId="36" fillId="2" borderId="36" xfId="5" applyFont="1" applyFill="1" applyBorder="1"/>
    <xf numFmtId="0" fontId="36" fillId="2" borderId="37" xfId="5" applyFont="1" applyFill="1" applyBorder="1"/>
    <xf numFmtId="0" fontId="36" fillId="2" borderId="38" xfId="5" applyFont="1" applyFill="1" applyBorder="1"/>
    <xf numFmtId="0" fontId="36" fillId="2" borderId="0" xfId="5" applyFont="1" applyFill="1"/>
    <xf numFmtId="2" fontId="20" fillId="2" borderId="50" xfId="5" applyNumberFormat="1" applyFont="1" applyFill="1" applyBorder="1" applyAlignment="1">
      <alignment horizontal="center"/>
    </xf>
    <xf numFmtId="2" fontId="20" fillId="18" borderId="50" xfId="5" applyNumberFormat="1" applyFont="1" applyFill="1" applyBorder="1" applyAlignment="1">
      <alignment horizontal="center"/>
    </xf>
    <xf numFmtId="0" fontId="1" fillId="18" borderId="0" xfId="5" applyFill="1"/>
    <xf numFmtId="2" fontId="34" fillId="2" borderId="50" xfId="5" applyNumberFormat="1" applyFont="1" applyFill="1" applyBorder="1" applyAlignment="1">
      <alignment horizontal="center"/>
    </xf>
    <xf numFmtId="0" fontId="20" fillId="18" borderId="52" xfId="5" applyFont="1" applyFill="1" applyBorder="1" applyAlignment="1">
      <alignment horizontal="center"/>
    </xf>
    <xf numFmtId="165" fontId="20" fillId="19" borderId="52" xfId="5" applyNumberFormat="1" applyFont="1" applyFill="1" applyBorder="1" applyAlignment="1">
      <alignment horizontal="center"/>
    </xf>
    <xf numFmtId="0" fontId="20" fillId="20" borderId="52" xfId="5" applyFont="1" applyFill="1" applyBorder="1" applyAlignment="1">
      <alignment horizontal="center"/>
    </xf>
    <xf numFmtId="166" fontId="20" fillId="20" borderId="52" xfId="5" applyNumberFormat="1" applyFont="1" applyFill="1" applyBorder="1" applyAlignment="1">
      <alignment horizontal="center"/>
    </xf>
    <xf numFmtId="165" fontId="20" fillId="7" borderId="52" xfId="5" applyNumberFormat="1" applyFont="1" applyFill="1" applyBorder="1" applyAlignment="1">
      <alignment horizontal="center"/>
    </xf>
    <xf numFmtId="165" fontId="20" fillId="8" borderId="52" xfId="5" applyNumberFormat="1" applyFont="1" applyFill="1" applyBorder="1" applyAlignment="1">
      <alignment horizontal="center"/>
    </xf>
    <xf numFmtId="165" fontId="20" fillId="23" borderId="49" xfId="6" applyNumberFormat="1" applyFont="1" applyFill="1" applyBorder="1" applyAlignment="1">
      <alignment horizontal="center"/>
    </xf>
    <xf numFmtId="2" fontId="20" fillId="21" borderId="52" xfId="5" applyNumberFormat="1" applyFont="1" applyFill="1" applyBorder="1" applyAlignment="1">
      <alignment horizontal="center"/>
    </xf>
    <xf numFmtId="2" fontId="20" fillId="16" borderId="52" xfId="5" applyNumberFormat="1" applyFont="1" applyFill="1" applyBorder="1" applyAlignment="1">
      <alignment horizontal="center"/>
    </xf>
    <xf numFmtId="2" fontId="20" fillId="10" borderId="52" xfId="5" applyNumberFormat="1" applyFont="1" applyFill="1" applyBorder="1" applyAlignment="1">
      <alignment horizontal="center"/>
    </xf>
    <xf numFmtId="2" fontId="20" fillId="9" borderId="52" xfId="5" applyNumberFormat="1" applyFont="1" applyFill="1" applyBorder="1" applyAlignment="1">
      <alignment horizontal="center"/>
    </xf>
    <xf numFmtId="2" fontId="20" fillId="17" borderId="53" xfId="5" applyNumberFormat="1" applyFont="1" applyFill="1" applyBorder="1" applyAlignment="1">
      <alignment horizontal="center"/>
    </xf>
    <xf numFmtId="0" fontId="1" fillId="2" borderId="39" xfId="5" applyFill="1" applyBorder="1" applyAlignment="1">
      <alignment horizontal="center"/>
    </xf>
    <xf numFmtId="0" fontId="1" fillId="2" borderId="40" xfId="5" applyFill="1" applyBorder="1"/>
    <xf numFmtId="0" fontId="1" fillId="2" borderId="41" xfId="5" applyFill="1" applyBorder="1"/>
    <xf numFmtId="0" fontId="11" fillId="6" borderId="27" xfId="5" applyFont="1" applyFill="1" applyBorder="1" applyAlignment="1">
      <alignment horizontal="center" vertical="center"/>
    </xf>
    <xf numFmtId="0" fontId="10" fillId="6" borderId="27" xfId="5" applyFont="1" applyFill="1" applyBorder="1" applyAlignment="1">
      <alignment horizontal="center" vertical="center"/>
    </xf>
    <xf numFmtId="0" fontId="11" fillId="6" borderId="14" xfId="5" applyFont="1" applyFill="1" applyBorder="1" applyAlignment="1">
      <alignment horizontal="center" vertical="center"/>
    </xf>
    <xf numFmtId="0" fontId="13" fillId="8" borderId="28" xfId="5" applyFont="1" applyFill="1" applyBorder="1" applyAlignment="1">
      <alignment horizontal="center" vertical="center"/>
    </xf>
    <xf numFmtId="0" fontId="14" fillId="9" borderId="18" xfId="5" applyFont="1" applyFill="1" applyBorder="1" applyAlignment="1">
      <alignment horizontal="center" vertical="center"/>
    </xf>
    <xf numFmtId="0" fontId="11" fillId="10" borderId="18" xfId="5" applyFont="1" applyFill="1" applyBorder="1" applyAlignment="1">
      <alignment horizontal="center" vertical="center"/>
    </xf>
    <xf numFmtId="0" fontId="11" fillId="12" borderId="18" xfId="5" applyFont="1" applyFill="1" applyBorder="1" applyAlignment="1">
      <alignment horizontal="center" vertical="center"/>
    </xf>
    <xf numFmtId="0" fontId="11" fillId="13" borderId="27" xfId="5" applyFont="1" applyFill="1" applyBorder="1" applyAlignment="1">
      <alignment horizontal="center" vertical="center"/>
    </xf>
    <xf numFmtId="0" fontId="11" fillId="14" borderId="27" xfId="5" applyFont="1" applyFill="1" applyBorder="1" applyAlignment="1">
      <alignment horizontal="center" vertical="center"/>
    </xf>
    <xf numFmtId="0" fontId="11" fillId="14" borderId="17" xfId="5" applyFont="1" applyFill="1" applyBorder="1" applyAlignment="1">
      <alignment horizontal="center" vertical="center"/>
    </xf>
    <xf numFmtId="0" fontId="11" fillId="16" borderId="18" xfId="5" applyFont="1" applyFill="1" applyBorder="1" applyAlignment="1">
      <alignment horizontal="center" vertical="center"/>
    </xf>
    <xf numFmtId="165" fontId="18" fillId="6" borderId="24" xfId="6" applyNumberFormat="1" applyFont="1" applyFill="1" applyBorder="1" applyAlignment="1">
      <alignment horizontal="center" vertical="center"/>
    </xf>
    <xf numFmtId="165" fontId="19" fillId="8" borderId="24" xfId="6" applyNumberFormat="1" applyFont="1" applyFill="1" applyBorder="1" applyAlignment="1">
      <alignment horizontal="center" wrapText="1"/>
    </xf>
    <xf numFmtId="2" fontId="19" fillId="8" borderId="31" xfId="5" applyNumberFormat="1" applyFont="1" applyFill="1" applyBorder="1" applyAlignment="1">
      <alignment horizontal="center" vertical="center"/>
    </xf>
    <xf numFmtId="2" fontId="19" fillId="8" borderId="24" xfId="5" applyNumberFormat="1" applyFont="1" applyFill="1" applyBorder="1" applyAlignment="1">
      <alignment horizontal="center" vertical="center"/>
    </xf>
    <xf numFmtId="2" fontId="19" fillId="9" borderId="24" xfId="5" applyNumberFormat="1" applyFont="1" applyFill="1" applyBorder="1" applyAlignment="1">
      <alignment horizontal="center" wrapText="1"/>
    </xf>
    <xf numFmtId="2" fontId="19" fillId="9" borderId="24" xfId="5" applyNumberFormat="1" applyFont="1" applyFill="1" applyBorder="1" applyAlignment="1">
      <alignment horizontal="center" vertical="center" wrapText="1"/>
    </xf>
    <xf numFmtId="2" fontId="19" fillId="10" borderId="24" xfId="5" applyNumberFormat="1" applyFont="1" applyFill="1" applyBorder="1" applyAlignment="1">
      <alignment horizontal="center" wrapText="1"/>
    </xf>
    <xf numFmtId="2" fontId="19" fillId="11" borderId="31" xfId="5" applyNumberFormat="1" applyFont="1" applyFill="1" applyBorder="1" applyAlignment="1">
      <alignment horizontal="center" vertical="center" wrapText="1"/>
    </xf>
    <xf numFmtId="2" fontId="19" fillId="12" borderId="24" xfId="5" applyNumberFormat="1" applyFont="1" applyFill="1" applyBorder="1" applyAlignment="1">
      <alignment horizontal="center" vertical="center" wrapText="1"/>
    </xf>
    <xf numFmtId="2" fontId="19" fillId="13" borderId="24" xfId="5" applyNumberFormat="1" applyFont="1" applyFill="1" applyBorder="1" applyAlignment="1">
      <alignment horizontal="center" vertical="center" wrapText="1"/>
    </xf>
    <xf numFmtId="165" fontId="19" fillId="14" borderId="24" xfId="6" applyNumberFormat="1" applyFont="1" applyFill="1" applyBorder="1" applyAlignment="1">
      <alignment horizontal="center" vertical="center"/>
    </xf>
    <xf numFmtId="2" fontId="19" fillId="15" borderId="24" xfId="5" applyNumberFormat="1" applyFont="1" applyFill="1" applyBorder="1" applyAlignment="1">
      <alignment horizontal="center" wrapText="1"/>
    </xf>
    <xf numFmtId="0" fontId="20" fillId="24" borderId="8" xfId="5" applyFont="1" applyFill="1" applyBorder="1" applyAlignment="1">
      <alignment horizontal="center"/>
    </xf>
    <xf numFmtId="165" fontId="11" fillId="24" borderId="8" xfId="6" applyNumberFormat="1" applyFont="1" applyFill="1" applyBorder="1" applyAlignment="1">
      <alignment horizontal="center"/>
    </xf>
    <xf numFmtId="165" fontId="20" fillId="24" borderId="8" xfId="6" applyNumberFormat="1" applyFont="1" applyFill="1" applyBorder="1" applyAlignment="1">
      <alignment horizontal="center"/>
    </xf>
    <xf numFmtId="164" fontId="20" fillId="24" borderId="8" xfId="6" applyFont="1" applyFill="1" applyBorder="1" applyAlignment="1">
      <alignment horizontal="center"/>
    </xf>
    <xf numFmtId="165" fontId="21" fillId="24" borderId="20" xfId="6" applyNumberFormat="1" applyFont="1" applyFill="1" applyBorder="1"/>
    <xf numFmtId="2" fontId="20" fillId="23" borderId="8" xfId="5" applyNumberFormat="1" applyFont="1" applyFill="1" applyBorder="1" applyAlignment="1">
      <alignment horizontal="center"/>
    </xf>
    <xf numFmtId="1" fontId="20" fillId="24" borderId="8" xfId="5" applyNumberFormat="1" applyFont="1" applyFill="1" applyBorder="1" applyAlignment="1">
      <alignment horizontal="center"/>
    </xf>
    <xf numFmtId="2" fontId="20" fillId="24" borderId="8" xfId="5" applyNumberFormat="1" applyFont="1" applyFill="1" applyBorder="1" applyAlignment="1">
      <alignment horizontal="center"/>
    </xf>
    <xf numFmtId="168" fontId="20" fillId="24" borderId="8" xfId="10" applyNumberFormat="1" applyFont="1" applyFill="1" applyBorder="1" applyAlignment="1">
      <alignment horizontal="center"/>
    </xf>
    <xf numFmtId="167" fontId="20" fillId="24" borderId="8" xfId="5" applyNumberFormat="1" applyFont="1" applyFill="1" applyBorder="1" applyAlignment="1">
      <alignment horizontal="center"/>
    </xf>
    <xf numFmtId="2" fontId="22" fillId="24" borderId="8" xfId="5" applyNumberFormat="1" applyFont="1" applyFill="1" applyBorder="1" applyAlignment="1">
      <alignment horizontal="center"/>
    </xf>
    <xf numFmtId="1" fontId="20" fillId="24" borderId="5" xfId="5" applyNumberFormat="1" applyFont="1" applyFill="1" applyBorder="1" applyAlignment="1">
      <alignment horizontal="center"/>
    </xf>
    <xf numFmtId="0" fontId="1" fillId="24" borderId="33" xfId="5" applyFill="1" applyBorder="1"/>
    <xf numFmtId="0" fontId="1" fillId="24" borderId="34" xfId="5" applyFill="1" applyBorder="1"/>
    <xf numFmtId="0" fontId="1" fillId="24" borderId="35" xfId="5" applyFill="1" applyBorder="1"/>
    <xf numFmtId="0" fontId="20" fillId="0" borderId="1" xfId="5" applyFont="1" applyBorder="1" applyAlignment="1">
      <alignment horizontal="center"/>
    </xf>
    <xf numFmtId="165" fontId="11" fillId="0" borderId="8" xfId="6" applyNumberFormat="1" applyFont="1" applyFill="1" applyBorder="1" applyAlignment="1">
      <alignment horizontal="center"/>
    </xf>
    <xf numFmtId="165" fontId="20" fillId="0" borderId="1" xfId="6" applyNumberFormat="1" applyFont="1" applyFill="1" applyBorder="1" applyAlignment="1">
      <alignment horizontal="center"/>
    </xf>
    <xf numFmtId="164" fontId="20" fillId="0" borderId="8" xfId="6" applyFont="1" applyFill="1" applyBorder="1" applyAlignment="1">
      <alignment horizontal="center"/>
    </xf>
    <xf numFmtId="165" fontId="21" fillId="0" borderId="1" xfId="6" applyNumberFormat="1" applyFont="1" applyFill="1" applyBorder="1"/>
    <xf numFmtId="166" fontId="20" fillId="0" borderId="1" xfId="6" applyNumberFormat="1" applyFont="1" applyFill="1" applyBorder="1" applyAlignment="1">
      <alignment horizontal="center"/>
    </xf>
    <xf numFmtId="1" fontId="20" fillId="0" borderId="8" xfId="5" applyNumberFormat="1" applyFont="1" applyBorder="1" applyAlignment="1">
      <alignment horizontal="center"/>
    </xf>
    <xf numFmtId="0" fontId="20" fillId="0" borderId="8" xfId="5" applyFont="1" applyBorder="1" applyAlignment="1">
      <alignment horizontal="center"/>
    </xf>
    <xf numFmtId="2" fontId="20" fillId="0" borderId="1" xfId="5" applyNumberFormat="1" applyFont="1" applyBorder="1" applyAlignment="1">
      <alignment horizontal="center"/>
    </xf>
    <xf numFmtId="168" fontId="20" fillId="0" borderId="1" xfId="10" applyNumberFormat="1" applyFont="1" applyFill="1" applyBorder="1" applyAlignment="1">
      <alignment horizontal="center"/>
    </xf>
    <xf numFmtId="2" fontId="20" fillId="0" borderId="8" xfId="5" applyNumberFormat="1" applyFont="1" applyBorder="1" applyAlignment="1">
      <alignment horizontal="center"/>
    </xf>
    <xf numFmtId="1" fontId="20" fillId="0" borderId="1" xfId="5" applyNumberFormat="1" applyFont="1" applyBorder="1" applyAlignment="1">
      <alignment horizontal="center"/>
    </xf>
    <xf numFmtId="167" fontId="20" fillId="0" borderId="8" xfId="5" applyNumberFormat="1" applyFont="1" applyBorder="1" applyAlignment="1">
      <alignment horizontal="center"/>
    </xf>
    <xf numFmtId="1" fontId="20" fillId="0" borderId="10" xfId="5" applyNumberFormat="1" applyFont="1" applyBorder="1" applyAlignment="1">
      <alignment horizontal="center"/>
    </xf>
    <xf numFmtId="0" fontId="1" fillId="0" borderId="36" xfId="5" applyBorder="1"/>
    <xf numFmtId="0" fontId="1" fillId="0" borderId="37" xfId="5" applyBorder="1"/>
    <xf numFmtId="0" fontId="1" fillId="0" borderId="38" xfId="5" applyBorder="1"/>
    <xf numFmtId="0" fontId="20" fillId="16" borderId="1" xfId="5" applyFont="1" applyFill="1" applyBorder="1" applyAlignment="1">
      <alignment horizontal="center"/>
    </xf>
    <xf numFmtId="165" fontId="11" fillId="16" borderId="8" xfId="6" applyNumberFormat="1" applyFont="1" applyFill="1" applyBorder="1" applyAlignment="1">
      <alignment horizontal="center"/>
    </xf>
    <xf numFmtId="164" fontId="20" fillId="16" borderId="1" xfId="6" applyFont="1" applyFill="1" applyBorder="1" applyAlignment="1">
      <alignment horizontal="center"/>
    </xf>
    <xf numFmtId="165" fontId="20" fillId="16" borderId="8" xfId="6" applyNumberFormat="1" applyFont="1" applyFill="1" applyBorder="1" applyAlignment="1">
      <alignment horizontal="center"/>
    </xf>
    <xf numFmtId="164" fontId="20" fillId="16" borderId="8" xfId="6" applyFont="1" applyFill="1" applyBorder="1" applyAlignment="1">
      <alignment horizontal="center"/>
    </xf>
    <xf numFmtId="165" fontId="21" fillId="16" borderId="1" xfId="6" applyNumberFormat="1" applyFont="1" applyFill="1" applyBorder="1"/>
    <xf numFmtId="165" fontId="20" fillId="16" borderId="1" xfId="6" applyNumberFormat="1" applyFont="1" applyFill="1" applyBorder="1" applyAlignment="1">
      <alignment horizontal="center"/>
    </xf>
    <xf numFmtId="1" fontId="20" fillId="16" borderId="8" xfId="5" applyNumberFormat="1" applyFont="1" applyFill="1" applyBorder="1" applyAlignment="1">
      <alignment horizontal="center"/>
    </xf>
    <xf numFmtId="0" fontId="20" fillId="16" borderId="8" xfId="5" applyFont="1" applyFill="1" applyBorder="1" applyAlignment="1">
      <alignment horizontal="center"/>
    </xf>
    <xf numFmtId="2" fontId="20" fillId="16" borderId="1" xfId="5" applyNumberFormat="1" applyFont="1" applyFill="1" applyBorder="1" applyAlignment="1">
      <alignment horizontal="center"/>
    </xf>
    <xf numFmtId="168" fontId="20" fillId="16" borderId="1" xfId="10" applyNumberFormat="1" applyFont="1" applyFill="1" applyBorder="1" applyAlignment="1">
      <alignment horizontal="center"/>
    </xf>
    <xf numFmtId="2" fontId="20" fillId="16" borderId="8" xfId="5" applyNumberFormat="1" applyFont="1" applyFill="1" applyBorder="1" applyAlignment="1">
      <alignment horizontal="center"/>
    </xf>
    <xf numFmtId="1" fontId="20" fillId="16" borderId="1" xfId="5" applyNumberFormat="1" applyFont="1" applyFill="1" applyBorder="1" applyAlignment="1">
      <alignment horizontal="center"/>
    </xf>
    <xf numFmtId="167" fontId="20" fillId="16" borderId="8" xfId="5" applyNumberFormat="1" applyFont="1" applyFill="1" applyBorder="1" applyAlignment="1">
      <alignment horizontal="center"/>
    </xf>
    <xf numFmtId="1" fontId="20" fillId="16" borderId="10" xfId="5" applyNumberFormat="1" applyFont="1" applyFill="1" applyBorder="1" applyAlignment="1">
      <alignment horizontal="center"/>
    </xf>
    <xf numFmtId="0" fontId="1" fillId="16" borderId="36" xfId="5" applyFill="1" applyBorder="1"/>
    <xf numFmtId="0" fontId="1" fillId="16" borderId="37" xfId="5" applyFill="1" applyBorder="1"/>
    <xf numFmtId="0" fontId="1" fillId="16" borderId="38" xfId="5" applyFill="1" applyBorder="1"/>
    <xf numFmtId="1" fontId="20" fillId="0" borderId="1" xfId="5" applyNumberFormat="1" applyFont="1" applyBorder="1" applyAlignment="1">
      <alignment horizontal="center" vertical="center"/>
    </xf>
    <xf numFmtId="2" fontId="20" fillId="0" borderId="1" xfId="6" applyNumberFormat="1" applyFont="1" applyFill="1" applyBorder="1" applyAlignment="1">
      <alignment horizontal="center"/>
    </xf>
    <xf numFmtId="1" fontId="20" fillId="0" borderId="1" xfId="6" applyNumberFormat="1" applyFont="1" applyFill="1" applyBorder="1" applyAlignment="1">
      <alignment horizontal="center"/>
    </xf>
    <xf numFmtId="164" fontId="20" fillId="0" borderId="1" xfId="6" applyFont="1" applyFill="1" applyBorder="1" applyAlignment="1">
      <alignment horizontal="center"/>
    </xf>
    <xf numFmtId="2" fontId="22" fillId="0" borderId="8" xfId="5" applyNumberFormat="1" applyFont="1" applyBorder="1" applyAlignment="1">
      <alignment horizontal="center"/>
    </xf>
    <xf numFmtId="165" fontId="20" fillId="0" borderId="1" xfId="6" applyNumberFormat="1" applyFont="1" applyFill="1" applyBorder="1" applyAlignment="1">
      <alignment horizontal="center" vertical="center"/>
    </xf>
    <xf numFmtId="1" fontId="20" fillId="0" borderId="10" xfId="6" applyNumberFormat="1" applyFont="1" applyFill="1" applyBorder="1" applyAlignment="1">
      <alignment horizontal="center"/>
    </xf>
    <xf numFmtId="168" fontId="20" fillId="0" borderId="8" xfId="10" applyNumberFormat="1" applyFont="1" applyFill="1" applyBorder="1" applyAlignment="1">
      <alignment horizontal="center"/>
    </xf>
    <xf numFmtId="167" fontId="20" fillId="0" borderId="1" xfId="5" applyNumberFormat="1" applyFont="1" applyBorder="1" applyAlignment="1">
      <alignment horizontal="center"/>
    </xf>
    <xf numFmtId="1" fontId="20" fillId="0" borderId="8" xfId="5" applyNumberFormat="1" applyFont="1" applyBorder="1" applyAlignment="1">
      <alignment horizontal="center" vertical="center"/>
    </xf>
    <xf numFmtId="1" fontId="20" fillId="0" borderId="5" xfId="5" applyNumberFormat="1" applyFont="1" applyBorder="1" applyAlignment="1">
      <alignment horizontal="center"/>
    </xf>
    <xf numFmtId="2" fontId="20" fillId="0" borderId="8" xfId="5" applyNumberFormat="1" applyFont="1" applyBorder="1" applyAlignment="1">
      <alignment horizontal="center" vertical="center"/>
    </xf>
    <xf numFmtId="166" fontId="20" fillId="16" borderId="1" xfId="6" applyNumberFormat="1" applyFont="1" applyFill="1" applyBorder="1" applyAlignment="1">
      <alignment horizontal="center"/>
    </xf>
    <xf numFmtId="168" fontId="20" fillId="16" borderId="8" xfId="10" applyNumberFormat="1" applyFont="1" applyFill="1" applyBorder="1" applyAlignment="1">
      <alignment horizontal="center"/>
    </xf>
    <xf numFmtId="1" fontId="20" fillId="16" borderId="5" xfId="5" applyNumberFormat="1" applyFont="1" applyFill="1" applyBorder="1" applyAlignment="1">
      <alignment horizontal="center"/>
    </xf>
    <xf numFmtId="1" fontId="20" fillId="23" borderId="8" xfId="5" applyNumberFormat="1" applyFont="1" applyFill="1" applyBorder="1" applyAlignment="1">
      <alignment horizontal="center"/>
    </xf>
    <xf numFmtId="0" fontId="20" fillId="0" borderId="8" xfId="6" applyNumberFormat="1" applyFont="1" applyFill="1" applyBorder="1" applyAlignment="1">
      <alignment horizontal="center"/>
    </xf>
    <xf numFmtId="10" fontId="20" fillId="0" borderId="8" xfId="10" applyNumberFormat="1" applyFont="1" applyFill="1" applyBorder="1" applyAlignment="1">
      <alignment horizontal="center"/>
    </xf>
    <xf numFmtId="0" fontId="20" fillId="18" borderId="1" xfId="5" applyFont="1" applyFill="1" applyBorder="1" applyAlignment="1">
      <alignment horizontal="center"/>
    </xf>
    <xf numFmtId="165" fontId="20" fillId="6" borderId="1" xfId="5" applyNumberFormat="1" applyFont="1" applyFill="1" applyBorder="1" applyAlignment="1">
      <alignment horizontal="center"/>
    </xf>
    <xf numFmtId="0" fontId="20" fillId="6" borderId="8" xfId="5" applyFont="1" applyFill="1" applyBorder="1" applyAlignment="1">
      <alignment horizontal="center"/>
    </xf>
    <xf numFmtId="165" fontId="20" fillId="6" borderId="8" xfId="5" applyNumberFormat="1" applyFont="1" applyFill="1" applyBorder="1" applyAlignment="1">
      <alignment horizontal="center"/>
    </xf>
    <xf numFmtId="165" fontId="20" fillId="7" borderId="8" xfId="5" applyNumberFormat="1" applyFont="1" applyFill="1" applyBorder="1" applyAlignment="1">
      <alignment horizontal="center"/>
    </xf>
    <xf numFmtId="165" fontId="20" fillId="8" borderId="8" xfId="5" applyNumberFormat="1" applyFont="1" applyFill="1" applyBorder="1" applyAlignment="1">
      <alignment horizontal="center"/>
    </xf>
    <xf numFmtId="2" fontId="20" fillId="9" borderId="8" xfId="5" applyNumberFormat="1" applyFont="1" applyFill="1" applyBorder="1" applyAlignment="1">
      <alignment horizontal="center"/>
    </xf>
    <xf numFmtId="2" fontId="20" fillId="10" borderId="8" xfId="5" applyNumberFormat="1" applyFont="1" applyFill="1" applyBorder="1" applyAlignment="1">
      <alignment horizontal="center"/>
    </xf>
    <xf numFmtId="10" fontId="20" fillId="10" borderId="8" xfId="10" applyNumberFormat="1" applyFont="1" applyFill="1" applyBorder="1" applyAlignment="1">
      <alignment horizontal="center"/>
    </xf>
    <xf numFmtId="2" fontId="20" fillId="11" borderId="8" xfId="5" applyNumberFormat="1" applyFont="1" applyFill="1" applyBorder="1" applyAlignment="1">
      <alignment horizontal="center"/>
    </xf>
    <xf numFmtId="2" fontId="20" fillId="12" borderId="8" xfId="5" applyNumberFormat="1" applyFont="1" applyFill="1" applyBorder="1" applyAlignment="1">
      <alignment horizontal="center"/>
    </xf>
    <xf numFmtId="2" fontId="20" fillId="8" borderId="8" xfId="5" applyNumberFormat="1" applyFont="1" applyFill="1" applyBorder="1" applyAlignment="1">
      <alignment horizontal="center"/>
    </xf>
    <xf numFmtId="2" fontId="20" fillId="14" borderId="8" xfId="5" applyNumberFormat="1" applyFont="1" applyFill="1" applyBorder="1" applyAlignment="1">
      <alignment horizontal="center"/>
    </xf>
    <xf numFmtId="1" fontId="20" fillId="14" borderId="8" xfId="5" applyNumberFormat="1" applyFont="1" applyFill="1" applyBorder="1" applyAlignment="1">
      <alignment horizontal="center"/>
    </xf>
    <xf numFmtId="167" fontId="20" fillId="8" borderId="8" xfId="5" applyNumberFormat="1" applyFont="1" applyFill="1" applyBorder="1" applyAlignment="1">
      <alignment horizontal="center"/>
    </xf>
    <xf numFmtId="1" fontId="20" fillId="15" borderId="8" xfId="5" applyNumberFormat="1" applyFont="1" applyFill="1" applyBorder="1" applyAlignment="1">
      <alignment horizontal="center"/>
    </xf>
    <xf numFmtId="2" fontId="20" fillId="13" borderId="8" xfId="5" applyNumberFormat="1" applyFont="1" applyFill="1" applyBorder="1" applyAlignment="1">
      <alignment horizontal="center"/>
    </xf>
    <xf numFmtId="1" fontId="20" fillId="9" borderId="8" xfId="5" applyNumberFormat="1" applyFont="1" applyFill="1" applyBorder="1" applyAlignment="1">
      <alignment horizontal="center"/>
    </xf>
    <xf numFmtId="1" fontId="20" fillId="17" borderId="5" xfId="5" applyNumberFormat="1" applyFont="1" applyFill="1" applyBorder="1" applyAlignment="1">
      <alignment horizontal="center"/>
    </xf>
    <xf numFmtId="0" fontId="1" fillId="2" borderId="39" xfId="5" applyFill="1" applyBorder="1"/>
    <xf numFmtId="2" fontId="1" fillId="2" borderId="0" xfId="5" applyNumberFormat="1" applyFill="1"/>
    <xf numFmtId="165" fontId="19" fillId="2" borderId="9" xfId="6" applyNumberFormat="1" applyFont="1" applyFill="1" applyBorder="1" applyAlignment="1">
      <alignment horizontal="center" vertical="center"/>
    </xf>
    <xf numFmtId="0" fontId="20" fillId="2" borderId="45" xfId="6" applyNumberFormat="1" applyFont="1" applyFill="1" applyBorder="1" applyAlignment="1">
      <alignment horizontal="center" vertical="center"/>
    </xf>
    <xf numFmtId="0" fontId="20" fillId="2" borderId="1" xfId="10" applyNumberFormat="1" applyFont="1" applyFill="1" applyBorder="1" applyAlignment="1">
      <alignment horizontal="center" vertical="center"/>
    </xf>
    <xf numFmtId="0" fontId="20" fillId="2" borderId="10" xfId="10" applyNumberFormat="1" applyFont="1" applyFill="1" applyBorder="1" applyAlignment="1">
      <alignment horizontal="center" vertical="center"/>
    </xf>
    <xf numFmtId="43" fontId="20" fillId="2" borderId="49" xfId="6" applyNumberFormat="1" applyFont="1" applyFill="1" applyBorder="1" applyAlignment="1">
      <alignment horizontal="center"/>
    </xf>
    <xf numFmtId="0" fontId="20" fillId="2" borderId="14" xfId="5" applyFont="1" applyFill="1" applyBorder="1" applyAlignment="1">
      <alignment horizontal="center" vertical="center"/>
    </xf>
    <xf numFmtId="0" fontId="20" fillId="24" borderId="49" xfId="5" applyFont="1" applyFill="1" applyBorder="1" applyAlignment="1">
      <alignment horizontal="center"/>
    </xf>
    <xf numFmtId="165" fontId="11" fillId="24" borderId="49" xfId="6" applyNumberFormat="1" applyFont="1" applyFill="1" applyBorder="1" applyAlignment="1">
      <alignment horizontal="center"/>
    </xf>
    <xf numFmtId="165" fontId="20" fillId="24" borderId="49" xfId="6" applyNumberFormat="1" applyFont="1" applyFill="1" applyBorder="1" applyAlignment="1">
      <alignment horizontal="center"/>
    </xf>
    <xf numFmtId="166" fontId="20" fillId="24" borderId="50" xfId="6" applyNumberFormat="1" applyFont="1" applyFill="1" applyBorder="1" applyAlignment="1">
      <alignment horizontal="center"/>
    </xf>
    <xf numFmtId="9" fontId="20" fillId="24" borderId="1" xfId="10" applyFont="1" applyFill="1" applyBorder="1" applyAlignment="1">
      <alignment horizontal="center" vertical="center"/>
    </xf>
    <xf numFmtId="9" fontId="20" fillId="24" borderId="10" xfId="10" applyFont="1" applyFill="1" applyBorder="1" applyAlignment="1">
      <alignment horizontal="center" vertical="center"/>
    </xf>
    <xf numFmtId="165" fontId="21" fillId="24" borderId="37" xfId="6" applyNumberFormat="1" applyFont="1" applyFill="1" applyBorder="1"/>
    <xf numFmtId="165" fontId="20" fillId="2" borderId="50" xfId="6" applyNumberFormat="1" applyFont="1" applyFill="1" applyBorder="1" applyAlignment="1">
      <alignment horizontal="center"/>
    </xf>
    <xf numFmtId="0" fontId="20" fillId="2" borderId="1" xfId="5" applyFont="1" applyFill="1" applyBorder="1" applyAlignment="1">
      <alignment horizontal="center" vertical="center"/>
    </xf>
    <xf numFmtId="165" fontId="20" fillId="24" borderId="51" xfId="6" applyNumberFormat="1" applyFont="1" applyFill="1" applyBorder="1" applyAlignment="1">
      <alignment horizontal="center"/>
    </xf>
    <xf numFmtId="1" fontId="20" fillId="24" borderId="49" xfId="5" applyNumberFormat="1" applyFont="1" applyFill="1" applyBorder="1" applyAlignment="1">
      <alignment horizontal="center"/>
    </xf>
    <xf numFmtId="10" fontId="20" fillId="24" borderId="49" xfId="5" applyNumberFormat="1" applyFont="1" applyFill="1" applyBorder="1" applyAlignment="1">
      <alignment horizontal="center"/>
    </xf>
    <xf numFmtId="1" fontId="20" fillId="24" borderId="50" xfId="5" applyNumberFormat="1" applyFont="1" applyFill="1" applyBorder="1" applyAlignment="1">
      <alignment horizontal="center"/>
    </xf>
    <xf numFmtId="0" fontId="1" fillId="24" borderId="36" xfId="5" applyFill="1" applyBorder="1"/>
    <xf numFmtId="0" fontId="1" fillId="24" borderId="37" xfId="5" applyFill="1" applyBorder="1"/>
    <xf numFmtId="0" fontId="1" fillId="24" borderId="38" xfId="5" applyFill="1" applyBorder="1"/>
    <xf numFmtId="0" fontId="1" fillId="24" borderId="0" xfId="5" applyFill="1"/>
    <xf numFmtId="166" fontId="20" fillId="2" borderId="50" xfId="6" applyNumberFormat="1" applyFont="1" applyFill="1" applyBorder="1" applyAlignment="1">
      <alignment horizontal="center"/>
    </xf>
    <xf numFmtId="9" fontId="20" fillId="2" borderId="1" xfId="10" applyFont="1" applyFill="1" applyBorder="1" applyAlignment="1">
      <alignment horizontal="center" vertical="center"/>
    </xf>
    <xf numFmtId="9" fontId="20" fillId="2" borderId="10" xfId="10" applyFont="1" applyFill="1" applyBorder="1" applyAlignment="1">
      <alignment horizontal="center" vertical="center"/>
    </xf>
    <xf numFmtId="165" fontId="20" fillId="0" borderId="51" xfId="6" applyNumberFormat="1" applyFont="1" applyFill="1" applyBorder="1" applyAlignment="1">
      <alignment horizontal="center"/>
    </xf>
    <xf numFmtId="164" fontId="11" fillId="2" borderId="49" xfId="6" applyFont="1" applyFill="1" applyBorder="1" applyAlignment="1">
      <alignment horizontal="center"/>
    </xf>
    <xf numFmtId="165" fontId="14" fillId="2" borderId="49" xfId="6" applyNumberFormat="1" applyFont="1" applyFill="1" applyBorder="1" applyAlignment="1">
      <alignment horizontal="center"/>
    </xf>
    <xf numFmtId="165" fontId="26" fillId="2" borderId="49" xfId="6" applyNumberFormat="1" applyFont="1" applyFill="1" applyBorder="1" applyAlignment="1">
      <alignment horizontal="center"/>
    </xf>
    <xf numFmtId="166" fontId="26" fillId="2" borderId="50" xfId="6" applyNumberFormat="1" applyFont="1" applyFill="1" applyBorder="1" applyAlignment="1">
      <alignment horizontal="center"/>
    </xf>
    <xf numFmtId="165" fontId="34" fillId="2" borderId="50" xfId="6" applyNumberFormat="1" applyFont="1" applyFill="1" applyBorder="1" applyAlignment="1">
      <alignment horizontal="center"/>
    </xf>
    <xf numFmtId="165" fontId="34" fillId="2" borderId="51" xfId="6" applyNumberFormat="1" applyFont="1" applyFill="1" applyBorder="1" applyAlignment="1">
      <alignment horizontal="center"/>
    </xf>
    <xf numFmtId="165" fontId="26" fillId="2" borderId="50" xfId="6" applyNumberFormat="1" applyFont="1" applyFill="1" applyBorder="1" applyAlignment="1">
      <alignment horizontal="center"/>
    </xf>
    <xf numFmtId="0" fontId="39" fillId="2" borderId="36" xfId="5" applyFont="1" applyFill="1" applyBorder="1"/>
    <xf numFmtId="0" fontId="39" fillId="2" borderId="37" xfId="5" applyFont="1" applyFill="1" applyBorder="1"/>
    <xf numFmtId="0" fontId="39" fillId="2" borderId="38" xfId="5" applyFont="1" applyFill="1" applyBorder="1"/>
    <xf numFmtId="0" fontId="39" fillId="2" borderId="0" xfId="5" applyFont="1" applyFill="1"/>
    <xf numFmtId="165" fontId="20" fillId="24" borderId="50" xfId="6" applyNumberFormat="1" applyFont="1" applyFill="1" applyBorder="1" applyAlignment="1">
      <alignment horizontal="center"/>
    </xf>
    <xf numFmtId="1" fontId="20" fillId="2" borderId="51" xfId="5" applyNumberFormat="1" applyFont="1" applyFill="1" applyBorder="1" applyAlignment="1">
      <alignment horizontal="center"/>
    </xf>
    <xf numFmtId="2" fontId="20" fillId="2" borderId="51" xfId="5" applyNumberFormat="1" applyFont="1" applyFill="1" applyBorder="1" applyAlignment="1">
      <alignment horizontal="center"/>
    </xf>
    <xf numFmtId="166" fontId="34" fillId="2" borderId="50" xfId="6" applyNumberFormat="1" applyFont="1" applyFill="1" applyBorder="1" applyAlignment="1">
      <alignment horizontal="center"/>
    </xf>
    <xf numFmtId="2" fontId="34" fillId="2" borderId="51" xfId="5" applyNumberFormat="1" applyFont="1" applyFill="1" applyBorder="1" applyAlignment="1">
      <alignment horizontal="center"/>
    </xf>
    <xf numFmtId="2" fontId="20" fillId="24" borderId="51" xfId="5" applyNumberFormat="1" applyFont="1" applyFill="1" applyBorder="1" applyAlignment="1">
      <alignment horizontal="center"/>
    </xf>
    <xf numFmtId="2" fontId="20" fillId="24" borderId="49" xfId="5" applyNumberFormat="1" applyFont="1" applyFill="1" applyBorder="1" applyAlignment="1">
      <alignment horizontal="center"/>
    </xf>
    <xf numFmtId="2" fontId="20" fillId="24" borderId="50" xfId="5" applyNumberFormat="1" applyFont="1" applyFill="1" applyBorder="1" applyAlignment="1">
      <alignment horizontal="center"/>
    </xf>
    <xf numFmtId="2" fontId="20" fillId="2" borderId="1" xfId="10" applyNumberFormat="1" applyFont="1" applyFill="1" applyBorder="1" applyAlignment="1">
      <alignment horizontal="center" vertical="center"/>
    </xf>
    <xf numFmtId="2" fontId="20" fillId="2" borderId="10" xfId="10" applyNumberFormat="1" applyFont="1" applyFill="1" applyBorder="1" applyAlignment="1">
      <alignment horizontal="center" vertical="center"/>
    </xf>
    <xf numFmtId="0" fontId="1" fillId="3" borderId="0" xfId="5" applyFill="1"/>
    <xf numFmtId="165" fontId="18" fillId="18" borderId="24" xfId="6" applyNumberFormat="1" applyFont="1" applyFill="1" applyBorder="1" applyAlignment="1">
      <alignment horizontal="center" vertical="center"/>
    </xf>
    <xf numFmtId="165" fontId="18" fillId="18" borderId="22" xfId="6" applyNumberFormat="1" applyFont="1" applyFill="1" applyBorder="1" applyAlignment="1">
      <alignment horizontal="center" vertical="center"/>
    </xf>
    <xf numFmtId="165" fontId="18" fillId="18" borderId="31" xfId="6" applyNumberFormat="1" applyFont="1" applyFill="1" applyBorder="1" applyAlignment="1">
      <alignment horizontal="center" vertical="center"/>
    </xf>
    <xf numFmtId="165" fontId="20" fillId="25" borderId="8" xfId="6" applyNumberFormat="1" applyFont="1" applyFill="1" applyBorder="1" applyAlignment="1">
      <alignment horizontal="center"/>
    </xf>
    <xf numFmtId="164" fontId="20" fillId="26" borderId="8" xfId="6" applyFont="1" applyFill="1" applyBorder="1" applyAlignment="1">
      <alignment horizontal="center"/>
    </xf>
    <xf numFmtId="165" fontId="21" fillId="27" borderId="20" xfId="6" applyNumberFormat="1" applyFont="1" applyFill="1" applyBorder="1"/>
    <xf numFmtId="165" fontId="20" fillId="27" borderId="8" xfId="6" applyNumberFormat="1" applyFont="1" applyFill="1" applyBorder="1" applyAlignment="1">
      <alignment horizontal="center"/>
    </xf>
    <xf numFmtId="2" fontId="20" fillId="27" borderId="8" xfId="5" applyNumberFormat="1" applyFont="1" applyFill="1" applyBorder="1" applyAlignment="1">
      <alignment horizontal="center"/>
    </xf>
    <xf numFmtId="168" fontId="20" fillId="28" borderId="8" xfId="10" applyNumberFormat="1" applyFont="1" applyFill="1" applyBorder="1" applyAlignment="1">
      <alignment horizontal="center"/>
    </xf>
    <xf numFmtId="10" fontId="20" fillId="28" borderId="8" xfId="5" applyNumberFormat="1" applyFont="1" applyFill="1" applyBorder="1" applyAlignment="1">
      <alignment horizontal="center"/>
    </xf>
    <xf numFmtId="0" fontId="1" fillId="0" borderId="33" xfId="5" applyBorder="1"/>
    <xf numFmtId="0" fontId="1" fillId="0" borderId="34" xfId="5" applyBorder="1"/>
    <xf numFmtId="0" fontId="1" fillId="0" borderId="35" xfId="5" applyBorder="1"/>
    <xf numFmtId="165" fontId="21" fillId="27" borderId="1" xfId="6" applyNumberFormat="1" applyFont="1" applyFill="1" applyBorder="1"/>
    <xf numFmtId="165" fontId="20" fillId="27" borderId="1" xfId="6" applyNumberFormat="1" applyFont="1" applyFill="1" applyBorder="1" applyAlignment="1">
      <alignment horizontal="center"/>
    </xf>
    <xf numFmtId="168" fontId="20" fillId="28" borderId="1" xfId="10" applyNumberFormat="1" applyFont="1" applyFill="1" applyBorder="1" applyAlignment="1">
      <alignment horizontal="center"/>
    </xf>
    <xf numFmtId="10" fontId="20" fillId="16" borderId="8" xfId="5" applyNumberFormat="1" applyFont="1" applyFill="1" applyBorder="1" applyAlignment="1">
      <alignment horizontal="center"/>
    </xf>
    <xf numFmtId="1" fontId="20" fillId="16" borderId="1" xfId="5" applyNumberFormat="1" applyFont="1" applyFill="1" applyBorder="1" applyAlignment="1">
      <alignment horizontal="center" vertical="center"/>
    </xf>
    <xf numFmtId="1" fontId="20" fillId="27" borderId="8" xfId="5" applyNumberFormat="1" applyFont="1" applyFill="1" applyBorder="1" applyAlignment="1">
      <alignment horizontal="center"/>
    </xf>
    <xf numFmtId="0" fontId="20" fillId="26" borderId="8" xfId="6" applyNumberFormat="1" applyFont="1" applyFill="1" applyBorder="1" applyAlignment="1">
      <alignment horizontal="center"/>
    </xf>
    <xf numFmtId="10" fontId="20" fillId="28" borderId="8" xfId="10" applyNumberFormat="1" applyFont="1" applyFill="1" applyBorder="1" applyAlignment="1">
      <alignment horizontal="center"/>
    </xf>
    <xf numFmtId="43" fontId="1" fillId="2" borderId="0" xfId="5" applyNumberFormat="1" applyFill="1"/>
    <xf numFmtId="0" fontId="31" fillId="5" borderId="0" xfId="5" applyFont="1" applyFill="1" applyAlignment="1">
      <alignment horizontal="center" vertical="center"/>
    </xf>
    <xf numFmtId="0" fontId="31" fillId="5" borderId="23" xfId="5" applyFont="1" applyFill="1" applyBorder="1" applyAlignment="1">
      <alignment horizontal="center" vertical="center"/>
    </xf>
    <xf numFmtId="0" fontId="13" fillId="8" borderId="17" xfId="5" applyFont="1" applyFill="1" applyBorder="1" applyAlignment="1">
      <alignment horizontal="center" vertical="center"/>
    </xf>
    <xf numFmtId="0" fontId="13" fillId="8" borderId="28" xfId="5" applyFont="1" applyFill="1" applyBorder="1" applyAlignment="1">
      <alignment horizontal="center" vertical="center"/>
    </xf>
    <xf numFmtId="0" fontId="13" fillId="8" borderId="18" xfId="5" applyFont="1" applyFill="1" applyBorder="1" applyAlignment="1">
      <alignment horizontal="center" vertical="center"/>
    </xf>
    <xf numFmtId="0" fontId="14" fillId="21" borderId="17" xfId="5" applyFont="1" applyFill="1" applyBorder="1" applyAlignment="1">
      <alignment horizontal="center" vertical="center"/>
    </xf>
    <xf numFmtId="0" fontId="14" fillId="21" borderId="18" xfId="5" applyFont="1" applyFill="1" applyBorder="1" applyAlignment="1">
      <alignment horizontal="center" vertical="center"/>
    </xf>
    <xf numFmtId="0" fontId="11" fillId="9" borderId="14" xfId="5" applyFont="1" applyFill="1" applyBorder="1" applyAlignment="1">
      <alignment horizontal="center" vertical="center"/>
    </xf>
    <xf numFmtId="0" fontId="11" fillId="9" borderId="24" xfId="5" applyFont="1" applyFill="1" applyBorder="1" applyAlignment="1">
      <alignment horizontal="center" vertical="center"/>
    </xf>
    <xf numFmtId="0" fontId="16" fillId="2" borderId="13" xfId="5" applyFont="1" applyFill="1" applyBorder="1" applyAlignment="1">
      <alignment horizontal="center" vertical="center"/>
    </xf>
    <xf numFmtId="0" fontId="16" fillId="2" borderId="15" xfId="5" applyFont="1" applyFill="1" applyBorder="1" applyAlignment="1">
      <alignment horizontal="center" vertical="center"/>
    </xf>
    <xf numFmtId="0" fontId="16" fillId="2" borderId="29" xfId="5" applyFont="1" applyFill="1" applyBorder="1" applyAlignment="1">
      <alignment horizontal="center" vertical="center"/>
    </xf>
    <xf numFmtId="0" fontId="11" fillId="10" borderId="17" xfId="5" applyFont="1" applyFill="1" applyBorder="1" applyAlignment="1">
      <alignment horizontal="center" vertical="center" wrapText="1"/>
    </xf>
    <xf numFmtId="0" fontId="11" fillId="10" borderId="18" xfId="5" applyFont="1" applyFill="1" applyBorder="1" applyAlignment="1">
      <alignment horizontal="center" vertical="center" wrapText="1"/>
    </xf>
    <xf numFmtId="0" fontId="9" fillId="3" borderId="0" xfId="5" applyFont="1" applyFill="1" applyAlignment="1">
      <alignment horizontal="center" vertical="center"/>
    </xf>
    <xf numFmtId="0" fontId="9" fillId="4" borderId="0" xfId="5" applyFont="1" applyFill="1" applyAlignment="1">
      <alignment horizontal="center" vertical="center"/>
    </xf>
    <xf numFmtId="0" fontId="12" fillId="7" borderId="14" xfId="5" applyFont="1" applyFill="1" applyBorder="1" applyAlignment="1">
      <alignment horizontal="center" vertical="center"/>
    </xf>
    <xf numFmtId="0" fontId="12" fillId="7" borderId="24" xfId="5" applyFont="1" applyFill="1" applyBorder="1" applyAlignment="1">
      <alignment horizontal="center" vertical="center"/>
    </xf>
    <xf numFmtId="0" fontId="11" fillId="7" borderId="14" xfId="5" applyFont="1" applyFill="1" applyBorder="1" applyAlignment="1">
      <alignment horizontal="center" vertical="center"/>
    </xf>
    <xf numFmtId="0" fontId="11" fillId="7" borderId="24" xfId="5" applyFont="1" applyFill="1" applyBorder="1" applyAlignment="1">
      <alignment horizontal="center" vertical="center"/>
    </xf>
    <xf numFmtId="0" fontId="14" fillId="9" borderId="17" xfId="5" applyFont="1" applyFill="1" applyBorder="1" applyAlignment="1">
      <alignment horizontal="center" vertical="center"/>
    </xf>
    <xf numFmtId="0" fontId="14" fillId="9" borderId="18" xfId="5" applyFont="1" applyFill="1" applyBorder="1" applyAlignment="1">
      <alignment horizontal="center" vertical="center"/>
    </xf>
    <xf numFmtId="0" fontId="11" fillId="11" borderId="27" xfId="5" applyFont="1" applyFill="1" applyBorder="1" applyAlignment="1">
      <alignment horizontal="center" vertical="center" wrapText="1"/>
    </xf>
    <xf numFmtId="0" fontId="10" fillId="8" borderId="14" xfId="5" applyFont="1" applyFill="1" applyBorder="1" applyAlignment="1">
      <alignment horizontal="center" vertical="center"/>
    </xf>
    <xf numFmtId="0" fontId="10" fillId="8" borderId="24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 wrapText="1"/>
    </xf>
    <xf numFmtId="0" fontId="11" fillId="8" borderId="25" xfId="5" applyFont="1" applyFill="1" applyBorder="1" applyAlignment="1">
      <alignment horizontal="center" vertical="center" wrapText="1"/>
    </xf>
    <xf numFmtId="0" fontId="11" fillId="15" borderId="17" xfId="5" applyFont="1" applyFill="1" applyBorder="1" applyAlignment="1">
      <alignment horizontal="center" vertical="center"/>
    </xf>
    <xf numFmtId="0" fontId="11" fillId="15" borderId="18" xfId="5" applyFont="1" applyFill="1" applyBorder="1" applyAlignment="1">
      <alignment horizontal="center" vertical="center"/>
    </xf>
    <xf numFmtId="0" fontId="15" fillId="9" borderId="14" xfId="5" applyFont="1" applyFill="1" applyBorder="1" applyAlignment="1">
      <alignment horizontal="center" vertical="center"/>
    </xf>
    <xf numFmtId="0" fontId="15" fillId="9" borderId="24" xfId="5" applyFont="1" applyFill="1" applyBorder="1" applyAlignment="1">
      <alignment horizontal="center" vertical="center"/>
    </xf>
    <xf numFmtId="0" fontId="10" fillId="9" borderId="14" xfId="5" applyFont="1" applyFill="1" applyBorder="1" applyAlignment="1">
      <alignment horizontal="center" vertical="center"/>
    </xf>
    <xf numFmtId="0" fontId="10" fillId="9" borderId="24" xfId="5" applyFont="1" applyFill="1" applyBorder="1" applyAlignment="1">
      <alignment horizontal="center" vertical="center"/>
    </xf>
    <xf numFmtId="0" fontId="11" fillId="17" borderId="16" xfId="5" applyFont="1" applyFill="1" applyBorder="1" applyAlignment="1">
      <alignment horizontal="center" vertical="center" wrapText="1"/>
    </xf>
    <xf numFmtId="0" fontId="11" fillId="17" borderId="22" xfId="5" applyFont="1" applyFill="1" applyBorder="1" applyAlignment="1">
      <alignment horizontal="center" vertical="center" wrapText="1"/>
    </xf>
    <xf numFmtId="0" fontId="16" fillId="2" borderId="21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32" xfId="5" applyFont="1" applyFill="1" applyBorder="1" applyAlignment="1">
      <alignment horizontal="center" vertical="center"/>
    </xf>
    <xf numFmtId="0" fontId="11" fillId="18" borderId="17" xfId="5" applyFont="1" applyFill="1" applyBorder="1" applyAlignment="1">
      <alignment horizontal="center" vertical="center"/>
    </xf>
    <xf numFmtId="0" fontId="11" fillId="18" borderId="18" xfId="5" applyFont="1" applyFill="1" applyBorder="1" applyAlignment="1">
      <alignment horizontal="center" vertical="center"/>
    </xf>
    <xf numFmtId="0" fontId="10" fillId="18" borderId="17" xfId="5" applyFont="1" applyFill="1" applyBorder="1" applyAlignment="1">
      <alignment horizontal="center" vertical="center"/>
    </xf>
    <xf numFmtId="0" fontId="10" fillId="18" borderId="18" xfId="5" applyFont="1" applyFill="1" applyBorder="1" applyAlignment="1">
      <alignment horizontal="center" vertical="center"/>
    </xf>
    <xf numFmtId="0" fontId="11" fillId="18" borderId="16" xfId="5" applyFont="1" applyFill="1" applyBorder="1" applyAlignment="1">
      <alignment horizontal="center" vertical="center"/>
    </xf>
    <xf numFmtId="0" fontId="11" fillId="18" borderId="54" xfId="5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167" fontId="0" fillId="25" borderId="7" xfId="0" applyNumberFormat="1" applyFill="1" applyBorder="1" applyAlignment="1">
      <alignment horizontal="right" vertical="top"/>
    </xf>
    <xf numFmtId="167" fontId="0" fillId="25" borderId="8" xfId="0" applyNumberFormat="1" applyFill="1" applyBorder="1"/>
    <xf numFmtId="167" fontId="0" fillId="25" borderId="7" xfId="0" applyNumberFormat="1" applyFill="1" applyBorder="1"/>
    <xf numFmtId="2" fontId="0" fillId="0" borderId="8" xfId="0" applyNumberFormat="1" applyBorder="1"/>
    <xf numFmtId="2" fontId="0" fillId="0" borderId="6" xfId="0" applyNumberFormat="1" applyBorder="1"/>
    <xf numFmtId="167" fontId="0" fillId="25" borderId="9" xfId="0" applyNumberFormat="1" applyFill="1" applyBorder="1"/>
    <xf numFmtId="167" fontId="0" fillId="25" borderId="55" xfId="0" applyNumberFormat="1" applyFill="1" applyBorder="1"/>
    <xf numFmtId="167" fontId="0" fillId="25" borderId="56" xfId="0" applyNumberFormat="1" applyFill="1" applyBorder="1"/>
    <xf numFmtId="167" fontId="0" fillId="25" borderId="57" xfId="0" applyNumberFormat="1" applyFill="1" applyBorder="1"/>
    <xf numFmtId="167" fontId="0" fillId="25" borderId="58" xfId="0" applyNumberFormat="1" applyFill="1" applyBorder="1"/>
    <xf numFmtId="167" fontId="0" fillId="25" borderId="59" xfId="0" applyNumberFormat="1" applyFill="1" applyBorder="1"/>
  </cellXfs>
  <cellStyles count="11">
    <cellStyle name="Comma" xfId="8" builtinId="3"/>
    <cellStyle name="Comma 2" xfId="2" xr:uid="{2E855DCF-97E6-433B-A391-B8A67025FD8F}"/>
    <cellStyle name="Comma 3" xfId="4" xr:uid="{5BA3C7FF-D93A-47AA-99BA-6F25C22B20CD}"/>
    <cellStyle name="Comma 4" xfId="6" xr:uid="{6095800F-39DF-4041-8185-2B22B59C74FE}"/>
    <cellStyle name="Normal" xfId="0" builtinId="0"/>
    <cellStyle name="Normal 2" xfId="1" xr:uid="{FBD28D3B-B8FB-4A12-AC03-2CEF7F2F848A}"/>
    <cellStyle name="Normal 3" xfId="3" xr:uid="{B164F7F5-5CF6-44A6-B527-6670FA449BD7}"/>
    <cellStyle name="Normal 3 2" xfId="7" xr:uid="{53083C68-5C29-452A-8BE7-647C200B349F}"/>
    <cellStyle name="Normal 4" xfId="5" xr:uid="{0C6DD41F-651F-4DB1-8465-6E762642CBDB}"/>
    <cellStyle name="Percent" xfId="9" builtinId="5"/>
    <cellStyle name="Percent 2" xfId="10" xr:uid="{8C533A21-B346-40F4-80DE-2E722715C458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.01-Daily-REPORT-PA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.02-Daily-REPORT-PA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"/>
      <sheetName val="1"/>
      <sheetName val="2"/>
      <sheetName val="3"/>
      <sheetName val="10K"/>
      <sheetName val="13,K"/>
      <sheetName val="tblDowntime P"/>
      <sheetName val="Daily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"/>
      <sheetName val="1"/>
      <sheetName val="2"/>
      <sheetName val="3"/>
      <sheetName val="10K"/>
      <sheetName val="Daily REPORT"/>
      <sheetName val="tblDowntime P"/>
      <sheetName val="13,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8FD5-87F5-479A-B602-F8C47DA208C0}">
  <dimension ref="A1:E32"/>
  <sheetViews>
    <sheetView zoomScale="85" zoomScaleNormal="85" workbookViewId="0">
      <selection activeCell="B4" sqref="B4"/>
    </sheetView>
  </sheetViews>
  <sheetFormatPr defaultRowHeight="15"/>
  <cols>
    <col min="1" max="1" width="11.7109375" bestFit="1" customWidth="1"/>
    <col min="2" max="2" width="53.42578125" bestFit="1" customWidth="1"/>
    <col min="3" max="3" width="32" bestFit="1" customWidth="1"/>
    <col min="4" max="5" width="9.7109375" bestFit="1" customWidth="1"/>
  </cols>
  <sheetData>
    <row r="1" spans="1:5" ht="18.75">
      <c r="A1" s="13" t="s">
        <v>35</v>
      </c>
    </row>
    <row r="3" spans="1:5" ht="15.75">
      <c r="A3" s="29" t="s">
        <v>0</v>
      </c>
    </row>
    <row r="5" spans="1:5" ht="15.75">
      <c r="A5" s="14" t="s">
        <v>1</v>
      </c>
      <c r="B5" s="22"/>
      <c r="C5" s="16" t="s">
        <v>39</v>
      </c>
      <c r="D5" s="23"/>
      <c r="E5" s="24"/>
    </row>
    <row r="6" spans="1:5" ht="15.75">
      <c r="A6" s="26"/>
      <c r="B6" s="15" t="s">
        <v>36</v>
      </c>
      <c r="C6" s="18" t="s">
        <v>33</v>
      </c>
      <c r="D6" s="17" t="s">
        <v>37</v>
      </c>
      <c r="E6" s="18" t="s">
        <v>38</v>
      </c>
    </row>
    <row r="7" spans="1:5">
      <c r="A7" s="27" t="s">
        <v>2</v>
      </c>
      <c r="B7" s="9" t="s">
        <v>99</v>
      </c>
      <c r="C7" s="12" t="s">
        <v>104</v>
      </c>
      <c r="D7" s="11"/>
      <c r="E7" s="12"/>
    </row>
    <row r="8" spans="1:5">
      <c r="A8" s="25"/>
      <c r="B8" s="2" t="s">
        <v>98</v>
      </c>
      <c r="C8" s="7" t="s">
        <v>106</v>
      </c>
      <c r="D8" s="3"/>
      <c r="E8" s="7"/>
    </row>
    <row r="9" spans="1:5">
      <c r="A9" s="25"/>
      <c r="B9" s="2" t="s">
        <v>105</v>
      </c>
      <c r="C9" s="7"/>
      <c r="D9" s="3"/>
      <c r="E9" s="7"/>
    </row>
    <row r="10" spans="1:5">
      <c r="A10" s="25"/>
      <c r="B10" s="2" t="s">
        <v>110</v>
      </c>
      <c r="C10" s="7"/>
      <c r="D10" s="3"/>
      <c r="E10" s="7"/>
    </row>
    <row r="11" spans="1:5">
      <c r="A11" s="28"/>
      <c r="B11" s="4"/>
      <c r="C11" s="8"/>
      <c r="D11" s="5"/>
      <c r="E11" s="8"/>
    </row>
    <row r="12" spans="1:5">
      <c r="A12" s="25" t="s">
        <v>8</v>
      </c>
      <c r="B12" s="2" t="s">
        <v>103</v>
      </c>
      <c r="C12" s="7"/>
      <c r="D12" s="3"/>
      <c r="E12" s="7"/>
    </row>
    <row r="13" spans="1:5">
      <c r="A13" s="25"/>
      <c r="B13" s="2" t="s">
        <v>107</v>
      </c>
      <c r="C13" s="7"/>
      <c r="D13" s="3"/>
      <c r="E13" s="7"/>
    </row>
    <row r="14" spans="1:5">
      <c r="A14" s="25"/>
      <c r="B14" s="2" t="s">
        <v>108</v>
      </c>
      <c r="C14" s="7"/>
      <c r="D14" s="3"/>
      <c r="E14" s="7"/>
    </row>
    <row r="15" spans="1:5">
      <c r="A15" s="25"/>
      <c r="B15" s="2"/>
      <c r="C15" s="7"/>
      <c r="D15" s="3"/>
      <c r="E15" s="7"/>
    </row>
    <row r="16" spans="1:5">
      <c r="A16" s="27" t="s">
        <v>10</v>
      </c>
      <c r="B16" s="9" t="s">
        <v>101</v>
      </c>
      <c r="C16" s="12"/>
      <c r="D16" s="11"/>
      <c r="E16" s="12"/>
    </row>
    <row r="17" spans="1:5">
      <c r="A17" s="25"/>
      <c r="B17" s="2" t="s">
        <v>102</v>
      </c>
      <c r="C17" s="7"/>
      <c r="D17" s="3"/>
      <c r="E17" s="7"/>
    </row>
    <row r="18" spans="1:5">
      <c r="A18" s="25"/>
      <c r="B18" s="2"/>
      <c r="C18" s="7"/>
      <c r="D18" s="3"/>
      <c r="E18" s="7"/>
    </row>
    <row r="19" spans="1:5">
      <c r="A19" s="25"/>
      <c r="B19" s="2"/>
      <c r="C19" s="7"/>
      <c r="D19" s="3"/>
      <c r="E19" s="7"/>
    </row>
    <row r="20" spans="1:5">
      <c r="A20" s="28"/>
      <c r="B20" s="4"/>
      <c r="C20" s="8"/>
      <c r="D20" s="5"/>
      <c r="E20" s="8"/>
    </row>
    <row r="21" spans="1:5">
      <c r="A21" s="25" t="s">
        <v>18</v>
      </c>
      <c r="B21" s="2"/>
      <c r="C21" s="7"/>
      <c r="D21" s="3"/>
      <c r="E21" s="7"/>
    </row>
    <row r="22" spans="1:5">
      <c r="A22" s="25"/>
      <c r="B22" s="2"/>
      <c r="C22" s="7"/>
      <c r="D22" s="3"/>
      <c r="E22" s="7"/>
    </row>
    <row r="23" spans="1:5">
      <c r="A23" s="25"/>
      <c r="B23" s="2"/>
      <c r="C23" s="7"/>
      <c r="D23" s="3"/>
      <c r="E23" s="7"/>
    </row>
    <row r="24" spans="1:5">
      <c r="A24" s="25"/>
      <c r="B24" s="2"/>
      <c r="C24" s="7"/>
      <c r="D24" s="3"/>
      <c r="E24" s="7"/>
    </row>
    <row r="25" spans="1:5">
      <c r="A25" s="27" t="s">
        <v>20</v>
      </c>
      <c r="B25" s="9"/>
      <c r="C25" s="12"/>
      <c r="D25" s="11"/>
      <c r="E25" s="12"/>
    </row>
    <row r="26" spans="1:5">
      <c r="A26" s="25"/>
      <c r="B26" s="2"/>
      <c r="C26" s="7"/>
      <c r="D26" s="3"/>
      <c r="E26" s="7"/>
    </row>
    <row r="27" spans="1:5">
      <c r="A27" s="25"/>
      <c r="B27" s="2"/>
      <c r="C27" s="7"/>
      <c r="D27" s="3"/>
      <c r="E27" s="7"/>
    </row>
    <row r="28" spans="1:5">
      <c r="A28" s="28"/>
      <c r="B28" s="4"/>
      <c r="C28" s="8"/>
      <c r="D28" s="5"/>
      <c r="E28" s="8"/>
    </row>
    <row r="29" spans="1:5">
      <c r="A29" s="25" t="s">
        <v>25</v>
      </c>
      <c r="B29" s="2" t="s">
        <v>100</v>
      </c>
      <c r="C29" s="7"/>
      <c r="D29" s="3"/>
      <c r="E29" s="7"/>
    </row>
    <row r="30" spans="1:5">
      <c r="A30" s="25"/>
      <c r="B30" s="2" t="s">
        <v>109</v>
      </c>
      <c r="C30" s="7"/>
      <c r="D30" s="3"/>
      <c r="E30" s="7"/>
    </row>
    <row r="31" spans="1:5">
      <c r="A31" s="7"/>
      <c r="B31" s="2"/>
      <c r="C31" s="7"/>
      <c r="D31" s="3"/>
      <c r="E31" s="7"/>
    </row>
    <row r="32" spans="1:5">
      <c r="A32" s="8"/>
      <c r="B32" s="4"/>
      <c r="C32" s="8"/>
      <c r="D32" s="5"/>
      <c r="E32" s="8"/>
    </row>
  </sheetData>
  <pageMargins left="0.70866141732283472" right="0.70866141732283472" top="0.74803149606299213" bottom="0.74803149606299213" header="0.31496062992125984" footer="0.31496062992125984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24D4-0FC7-467D-84C5-AC2CED007C2C}">
  <dimension ref="A1:I34"/>
  <sheetViews>
    <sheetView topLeftCell="A19" zoomScaleNormal="100" workbookViewId="0">
      <selection activeCell="E10" sqref="E10"/>
    </sheetView>
  </sheetViews>
  <sheetFormatPr defaultRowHeight="15"/>
  <cols>
    <col min="1" max="1" width="11.7109375" bestFit="1" customWidth="1"/>
    <col min="2" max="2" width="33.85546875" bestFit="1" customWidth="1"/>
    <col min="3" max="9" width="10.28515625" customWidth="1"/>
  </cols>
  <sheetData>
    <row r="1" spans="1:9" ht="18.75">
      <c r="A1" s="13" t="s">
        <v>28</v>
      </c>
    </row>
    <row r="3" spans="1:9" ht="15.75">
      <c r="A3" s="29" t="s">
        <v>0</v>
      </c>
      <c r="B3" s="1"/>
      <c r="C3" s="1"/>
      <c r="D3" s="1"/>
      <c r="E3" s="1"/>
      <c r="F3" s="1"/>
      <c r="G3" s="1"/>
      <c r="H3" s="1"/>
      <c r="I3" s="1"/>
    </row>
    <row r="4" spans="1:9" ht="15.75">
      <c r="A4" s="1"/>
      <c r="B4" s="1"/>
      <c r="C4" s="1"/>
      <c r="D4" s="1"/>
      <c r="E4" s="1"/>
      <c r="F4" s="1"/>
      <c r="G4" s="1"/>
      <c r="H4" s="1"/>
      <c r="I4" s="1"/>
    </row>
    <row r="5" spans="1:9" ht="15.75">
      <c r="A5" s="48"/>
      <c r="B5" s="46" t="s">
        <v>1</v>
      </c>
      <c r="C5" s="47" t="s">
        <v>29</v>
      </c>
      <c r="D5" s="46" t="s">
        <v>30</v>
      </c>
      <c r="E5" s="46" t="s">
        <v>29</v>
      </c>
      <c r="F5" s="45"/>
      <c r="G5" s="44" t="s">
        <v>29</v>
      </c>
      <c r="H5" s="43"/>
      <c r="I5" s="42"/>
    </row>
    <row r="6" spans="1:9" ht="15.75">
      <c r="A6" s="41"/>
      <c r="B6" s="40"/>
      <c r="C6" s="39">
        <v>2019</v>
      </c>
      <c r="D6" s="40">
        <v>2019</v>
      </c>
      <c r="E6" s="40">
        <v>2020</v>
      </c>
      <c r="F6" s="39" t="s">
        <v>34</v>
      </c>
      <c r="G6" s="38" t="s">
        <v>33</v>
      </c>
      <c r="H6" s="39" t="s">
        <v>32</v>
      </c>
      <c r="I6" s="38" t="s">
        <v>31</v>
      </c>
    </row>
    <row r="7" spans="1:9">
      <c r="A7" s="19" t="s">
        <v>2</v>
      </c>
      <c r="B7" s="10" t="s">
        <v>6</v>
      </c>
      <c r="C7" s="11"/>
      <c r="D7" s="12"/>
      <c r="E7" s="12"/>
      <c r="F7" s="11"/>
      <c r="G7" s="12"/>
      <c r="H7" s="11"/>
      <c r="I7" s="12"/>
    </row>
    <row r="8" spans="1:9">
      <c r="A8" s="20"/>
      <c r="B8" s="6" t="s">
        <v>7</v>
      </c>
      <c r="D8" s="7"/>
      <c r="E8" s="7"/>
      <c r="G8" s="7"/>
      <c r="I8" s="7"/>
    </row>
    <row r="9" spans="1:9">
      <c r="A9" s="20"/>
      <c r="B9" s="7" t="s">
        <v>3</v>
      </c>
      <c r="C9" s="7" t="s">
        <v>44</v>
      </c>
      <c r="E9" s="35" t="s">
        <v>87</v>
      </c>
      <c r="G9" s="7"/>
      <c r="I9" s="7"/>
    </row>
    <row r="10" spans="1:9">
      <c r="A10" s="20"/>
      <c r="B10" s="7" t="s">
        <v>4</v>
      </c>
      <c r="D10" s="7"/>
      <c r="E10" s="35" t="s">
        <v>88</v>
      </c>
      <c r="G10" s="7"/>
      <c r="I10" s="7"/>
    </row>
    <row r="11" spans="1:9">
      <c r="A11" s="20"/>
      <c r="B11" s="7" t="s">
        <v>5</v>
      </c>
      <c r="D11" s="7"/>
      <c r="E11" s="35" t="s">
        <v>88</v>
      </c>
      <c r="G11" s="7"/>
      <c r="I11" s="7"/>
    </row>
    <row r="12" spans="1:9">
      <c r="A12" s="21"/>
      <c r="B12" s="8"/>
      <c r="C12" s="5"/>
      <c r="D12" s="8"/>
      <c r="E12" s="8"/>
      <c r="F12" s="5"/>
      <c r="G12" s="8"/>
      <c r="H12" s="5"/>
      <c r="I12" s="8"/>
    </row>
    <row r="13" spans="1:9">
      <c r="A13" s="20" t="s">
        <v>8</v>
      </c>
      <c r="B13" s="7" t="s">
        <v>97</v>
      </c>
      <c r="D13" s="7"/>
      <c r="E13" s="35" t="s">
        <v>89</v>
      </c>
      <c r="G13" s="7"/>
      <c r="I13" s="7"/>
    </row>
    <row r="14" spans="1:9">
      <c r="A14" s="20"/>
      <c r="B14" s="7" t="s">
        <v>9</v>
      </c>
      <c r="D14" s="7"/>
      <c r="E14" s="35" t="s">
        <v>90</v>
      </c>
      <c r="G14" s="7"/>
      <c r="I14" s="7"/>
    </row>
    <row r="15" spans="1:9">
      <c r="A15" s="20"/>
      <c r="B15" s="7"/>
      <c r="D15" s="7"/>
      <c r="E15" s="8"/>
      <c r="G15" s="7"/>
      <c r="I15" s="7"/>
    </row>
    <row r="16" spans="1:9">
      <c r="A16" s="19" t="s">
        <v>10</v>
      </c>
      <c r="B16" s="12" t="s">
        <v>11</v>
      </c>
      <c r="C16" s="11"/>
      <c r="D16" s="12"/>
      <c r="E16" s="35" t="s">
        <v>90</v>
      </c>
      <c r="F16" s="11"/>
      <c r="G16" s="12"/>
      <c r="H16" s="11"/>
      <c r="I16" s="12"/>
    </row>
    <row r="17" spans="1:9">
      <c r="A17" s="20"/>
      <c r="B17" s="7" t="s">
        <v>12</v>
      </c>
      <c r="D17" s="7"/>
      <c r="E17" s="35" t="s">
        <v>90</v>
      </c>
      <c r="G17" s="7"/>
      <c r="I17" s="7"/>
    </row>
    <row r="18" spans="1:9">
      <c r="A18" s="20"/>
      <c r="B18" s="7" t="s">
        <v>13</v>
      </c>
      <c r="D18" s="7"/>
      <c r="E18" s="35" t="s">
        <v>88</v>
      </c>
      <c r="G18" s="7"/>
      <c r="I18" s="7"/>
    </row>
    <row r="19" spans="1:9">
      <c r="A19" s="20"/>
      <c r="B19" s="7" t="s">
        <v>14</v>
      </c>
      <c r="D19" s="7"/>
      <c r="E19" s="35" t="s">
        <v>88</v>
      </c>
      <c r="G19" s="7"/>
      <c r="I19" s="7"/>
    </row>
    <row r="20" spans="1:9">
      <c r="A20" s="20"/>
      <c r="B20" s="7" t="s">
        <v>15</v>
      </c>
      <c r="D20" s="7"/>
      <c r="E20" s="35" t="s">
        <v>88</v>
      </c>
      <c r="G20" s="7"/>
      <c r="I20" s="7"/>
    </row>
    <row r="21" spans="1:9">
      <c r="A21" s="20"/>
      <c r="B21" s="7" t="s">
        <v>16</v>
      </c>
      <c r="D21" s="7"/>
      <c r="E21" s="35" t="s">
        <v>88</v>
      </c>
      <c r="G21" s="7"/>
      <c r="I21" s="7"/>
    </row>
    <row r="22" spans="1:9">
      <c r="A22" s="20"/>
      <c r="B22" s="7" t="s">
        <v>17</v>
      </c>
      <c r="D22" s="7"/>
      <c r="E22" s="35" t="s">
        <v>88</v>
      </c>
      <c r="G22" s="7"/>
      <c r="I22" s="7"/>
    </row>
    <row r="23" spans="1:9">
      <c r="A23" s="21"/>
      <c r="B23" s="8"/>
      <c r="C23" s="5"/>
      <c r="D23" s="8"/>
      <c r="E23" s="8"/>
      <c r="F23" s="5"/>
      <c r="G23" s="8"/>
      <c r="H23" s="5"/>
      <c r="I23" s="8"/>
    </row>
    <row r="24" spans="1:9">
      <c r="A24" s="19" t="s">
        <v>18</v>
      </c>
      <c r="B24" s="12" t="s">
        <v>19</v>
      </c>
      <c r="C24" s="11"/>
      <c r="D24" s="12"/>
      <c r="E24" s="36">
        <v>1</v>
      </c>
      <c r="F24" s="11"/>
      <c r="G24" s="12"/>
      <c r="H24" s="11"/>
      <c r="I24" s="12"/>
    </row>
    <row r="25" spans="1:9">
      <c r="A25" s="21"/>
      <c r="B25" s="8"/>
      <c r="C25" s="5"/>
      <c r="D25" s="8"/>
      <c r="E25" s="7"/>
      <c r="F25" s="5"/>
      <c r="G25" s="8"/>
      <c r="H25" s="5"/>
      <c r="I25" s="8"/>
    </row>
    <row r="26" spans="1:9">
      <c r="A26" s="19" t="s">
        <v>20</v>
      </c>
      <c r="B26" s="12" t="s">
        <v>21</v>
      </c>
      <c r="C26" s="11"/>
      <c r="D26" s="9"/>
      <c r="E26" s="36" t="s">
        <v>91</v>
      </c>
      <c r="F26" s="11"/>
      <c r="G26" s="12"/>
      <c r="H26" s="11"/>
      <c r="I26" s="12"/>
    </row>
    <row r="27" spans="1:9">
      <c r="A27" s="20"/>
      <c r="B27" s="7" t="s">
        <v>22</v>
      </c>
      <c r="D27" s="2"/>
      <c r="E27" s="37" t="s">
        <v>92</v>
      </c>
      <c r="G27" s="7"/>
      <c r="I27" s="7"/>
    </row>
    <row r="28" spans="1:9">
      <c r="A28" s="20"/>
      <c r="B28" s="7" t="s">
        <v>23</v>
      </c>
      <c r="D28" s="2"/>
      <c r="E28" s="7" t="s">
        <v>88</v>
      </c>
      <c r="G28" s="7"/>
      <c r="I28" s="7"/>
    </row>
    <row r="29" spans="1:9">
      <c r="A29" s="20"/>
      <c r="B29" s="7" t="s">
        <v>96</v>
      </c>
      <c r="D29" s="2"/>
      <c r="E29" s="7" t="s">
        <v>88</v>
      </c>
      <c r="G29" s="7"/>
      <c r="I29" s="7"/>
    </row>
    <row r="30" spans="1:9">
      <c r="A30" s="20"/>
      <c r="B30" s="7" t="s">
        <v>95</v>
      </c>
      <c r="D30" s="2"/>
      <c r="E30" s="7" t="s">
        <v>88</v>
      </c>
      <c r="G30" s="7"/>
      <c r="I30" s="7"/>
    </row>
    <row r="31" spans="1:9">
      <c r="A31" s="21"/>
      <c r="B31" s="8"/>
      <c r="C31" s="5"/>
      <c r="D31" s="4"/>
      <c r="E31" s="8"/>
      <c r="F31" s="5"/>
      <c r="G31" s="8"/>
      <c r="H31" s="5"/>
      <c r="I31" s="8"/>
    </row>
    <row r="32" spans="1:9">
      <c r="A32" s="20" t="s">
        <v>25</v>
      </c>
      <c r="B32" s="7" t="s">
        <v>94</v>
      </c>
      <c r="D32" s="7"/>
      <c r="E32" s="7" t="s">
        <v>88</v>
      </c>
      <c r="G32" s="7"/>
      <c r="I32" s="7"/>
    </row>
    <row r="33" spans="1:9">
      <c r="A33" s="20"/>
      <c r="B33" s="7" t="s">
        <v>93</v>
      </c>
      <c r="D33" s="7"/>
      <c r="E33" s="7" t="s">
        <v>88</v>
      </c>
      <c r="G33" s="7"/>
      <c r="I33" s="7"/>
    </row>
    <row r="34" spans="1:9">
      <c r="A34" s="21"/>
      <c r="B34" s="8"/>
      <c r="C34" s="5"/>
      <c r="D34" s="8"/>
      <c r="E34" s="8"/>
      <c r="F34" s="5"/>
      <c r="G34" s="8"/>
      <c r="H34" s="5"/>
      <c r="I34" s="8"/>
    </row>
  </sheetData>
  <pageMargins left="0.70866141732283472" right="0.70866141732283472" top="0.74803149606299213" bottom="0.74803149606299213" header="0.31496062992125984" footer="0.31496062992125984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C8B1-BB19-44D4-A212-CC430E29645D}">
  <sheetPr>
    <tabColor theme="0"/>
  </sheetPr>
  <dimension ref="A1:AW75"/>
  <sheetViews>
    <sheetView topLeftCell="A52" zoomScale="70" zoomScaleNormal="70" workbookViewId="0">
      <pane xSplit="1" topLeftCell="B1" activePane="topRight" state="frozen"/>
      <selection pane="topRight" activeCell="U64" sqref="U64"/>
    </sheetView>
  </sheetViews>
  <sheetFormatPr defaultRowHeight="15"/>
  <cols>
    <col min="1" max="1" width="9.140625" style="30"/>
    <col min="2" max="2" width="10.42578125" style="30" customWidth="1"/>
    <col min="3" max="3" width="8.7109375" style="30" bestFit="1" customWidth="1"/>
    <col min="4" max="4" width="9.7109375" style="30" bestFit="1" customWidth="1"/>
    <col min="5" max="5" width="9.7109375" style="30" customWidth="1"/>
    <col min="6" max="10" width="9.140625" style="30"/>
    <col min="11" max="11" width="10.140625" style="30" customWidth="1"/>
    <col min="12" max="12" width="9.140625" style="30"/>
    <col min="13" max="13" width="10.5703125" style="30" bestFit="1" customWidth="1"/>
    <col min="14" max="14" width="10.5703125" style="30" customWidth="1"/>
    <col min="15" max="15" width="10.5703125" style="30" bestFit="1" customWidth="1"/>
    <col min="16" max="16" width="9.140625" style="285"/>
    <col min="17" max="20" width="9.140625" style="30"/>
    <col min="21" max="21" width="10" style="30" bestFit="1" customWidth="1"/>
    <col min="22" max="28" width="9.140625" style="30"/>
    <col min="29" max="29" width="10.5703125" style="30" bestFit="1" customWidth="1"/>
    <col min="30" max="41" width="9.140625" style="30"/>
    <col min="42" max="42" width="11.140625" style="30" bestFit="1" customWidth="1"/>
    <col min="43" max="43" width="9.140625" style="30"/>
    <col min="44" max="44" width="13.42578125" style="30" customWidth="1"/>
    <col min="45" max="246" width="9.140625" style="30"/>
    <col min="247" max="247" width="13.7109375" style="30" customWidth="1"/>
    <col min="248" max="248" width="14.5703125" style="30" customWidth="1"/>
    <col min="249" max="249" width="14.7109375" style="30" customWidth="1"/>
    <col min="250" max="250" width="14.5703125" style="30" customWidth="1"/>
    <col min="251" max="251" width="11" style="30" customWidth="1"/>
    <col min="252" max="253" width="10.42578125" style="30" customWidth="1"/>
    <col min="254" max="255" width="11" style="30" customWidth="1"/>
    <col min="256" max="256" width="14.7109375" style="30" customWidth="1"/>
    <col min="257" max="257" width="12.28515625" style="30" customWidth="1"/>
    <col min="258" max="258" width="10.42578125" style="30" customWidth="1"/>
    <col min="259" max="261" width="9.140625" style="30"/>
    <col min="262" max="262" width="12" style="30" customWidth="1"/>
    <col min="263" max="263" width="13.5703125" style="30" customWidth="1"/>
    <col min="264" max="264" width="16.85546875" style="30" bestFit="1" customWidth="1"/>
    <col min="265" max="267" width="7.42578125" style="30" customWidth="1"/>
    <col min="268" max="268" width="8.7109375" style="30" bestFit="1" customWidth="1"/>
    <col min="269" max="270" width="11.42578125" style="30" customWidth="1"/>
    <col min="271" max="271" width="14.140625" style="30" customWidth="1"/>
    <col min="272" max="272" width="13.42578125" style="30" customWidth="1"/>
    <col min="273" max="277" width="13" style="30" customWidth="1"/>
    <col min="278" max="278" width="11.42578125" style="30" customWidth="1"/>
    <col min="279" max="279" width="15.5703125" style="30" customWidth="1"/>
    <col min="280" max="502" width="9.140625" style="30"/>
    <col min="503" max="503" width="13.7109375" style="30" customWidth="1"/>
    <col min="504" max="504" width="14.5703125" style="30" customWidth="1"/>
    <col min="505" max="505" width="14.7109375" style="30" customWidth="1"/>
    <col min="506" max="506" width="14.5703125" style="30" customWidth="1"/>
    <col min="507" max="507" width="11" style="30" customWidth="1"/>
    <col min="508" max="509" width="10.42578125" style="30" customWidth="1"/>
    <col min="510" max="511" width="11" style="30" customWidth="1"/>
    <col min="512" max="512" width="14.7109375" style="30" customWidth="1"/>
    <col min="513" max="513" width="12.28515625" style="30" customWidth="1"/>
    <col min="514" max="514" width="10.42578125" style="30" customWidth="1"/>
    <col min="515" max="517" width="9.140625" style="30"/>
    <col min="518" max="518" width="12" style="30" customWidth="1"/>
    <col min="519" max="519" width="13.5703125" style="30" customWidth="1"/>
    <col min="520" max="520" width="16.85546875" style="30" bestFit="1" customWidth="1"/>
    <col min="521" max="523" width="7.42578125" style="30" customWidth="1"/>
    <col min="524" max="524" width="8.7109375" style="30" bestFit="1" customWidth="1"/>
    <col min="525" max="526" width="11.42578125" style="30" customWidth="1"/>
    <col min="527" max="527" width="14.140625" style="30" customWidth="1"/>
    <col min="528" max="528" width="13.42578125" style="30" customWidth="1"/>
    <col min="529" max="533" width="13" style="30" customWidth="1"/>
    <col min="534" max="534" width="11.42578125" style="30" customWidth="1"/>
    <col min="535" max="535" width="15.5703125" style="30" customWidth="1"/>
    <col min="536" max="758" width="9.140625" style="30"/>
    <col min="759" max="759" width="13.7109375" style="30" customWidth="1"/>
    <col min="760" max="760" width="14.5703125" style="30" customWidth="1"/>
    <col min="761" max="761" width="14.7109375" style="30" customWidth="1"/>
    <col min="762" max="762" width="14.5703125" style="30" customWidth="1"/>
    <col min="763" max="763" width="11" style="30" customWidth="1"/>
    <col min="764" max="765" width="10.42578125" style="30" customWidth="1"/>
    <col min="766" max="767" width="11" style="30" customWidth="1"/>
    <col min="768" max="768" width="14.7109375" style="30" customWidth="1"/>
    <col min="769" max="769" width="12.28515625" style="30" customWidth="1"/>
    <col min="770" max="770" width="10.42578125" style="30" customWidth="1"/>
    <col min="771" max="773" width="9.140625" style="30"/>
    <col min="774" max="774" width="12" style="30" customWidth="1"/>
    <col min="775" max="775" width="13.5703125" style="30" customWidth="1"/>
    <col min="776" max="776" width="16.85546875" style="30" bestFit="1" customWidth="1"/>
    <col min="777" max="779" width="7.42578125" style="30" customWidth="1"/>
    <col min="780" max="780" width="8.7109375" style="30" bestFit="1" customWidth="1"/>
    <col min="781" max="782" width="11.42578125" style="30" customWidth="1"/>
    <col min="783" max="783" width="14.140625" style="30" customWidth="1"/>
    <col min="784" max="784" width="13.42578125" style="30" customWidth="1"/>
    <col min="785" max="789" width="13" style="30" customWidth="1"/>
    <col min="790" max="790" width="11.42578125" style="30" customWidth="1"/>
    <col min="791" max="791" width="15.5703125" style="30" customWidth="1"/>
    <col min="792" max="1014" width="9.140625" style="30"/>
    <col min="1015" max="1015" width="13.7109375" style="30" customWidth="1"/>
    <col min="1016" max="1016" width="14.5703125" style="30" customWidth="1"/>
    <col min="1017" max="1017" width="14.7109375" style="30" customWidth="1"/>
    <col min="1018" max="1018" width="14.5703125" style="30" customWidth="1"/>
    <col min="1019" max="1019" width="11" style="30" customWidth="1"/>
    <col min="1020" max="1021" width="10.42578125" style="30" customWidth="1"/>
    <col min="1022" max="1023" width="11" style="30" customWidth="1"/>
    <col min="1024" max="1024" width="14.7109375" style="30" customWidth="1"/>
    <col min="1025" max="1025" width="12.28515625" style="30" customWidth="1"/>
    <col min="1026" max="1026" width="10.42578125" style="30" customWidth="1"/>
    <col min="1027" max="1029" width="9.140625" style="30"/>
    <col min="1030" max="1030" width="12" style="30" customWidth="1"/>
    <col min="1031" max="1031" width="13.5703125" style="30" customWidth="1"/>
    <col min="1032" max="1032" width="16.85546875" style="30" bestFit="1" customWidth="1"/>
    <col min="1033" max="1035" width="7.42578125" style="30" customWidth="1"/>
    <col min="1036" max="1036" width="8.7109375" style="30" bestFit="1" customWidth="1"/>
    <col min="1037" max="1038" width="11.42578125" style="30" customWidth="1"/>
    <col min="1039" max="1039" width="14.140625" style="30" customWidth="1"/>
    <col min="1040" max="1040" width="13.42578125" style="30" customWidth="1"/>
    <col min="1041" max="1045" width="13" style="30" customWidth="1"/>
    <col min="1046" max="1046" width="11.42578125" style="30" customWidth="1"/>
    <col min="1047" max="1047" width="15.5703125" style="30" customWidth="1"/>
    <col min="1048" max="1270" width="9.140625" style="30"/>
    <col min="1271" max="1271" width="13.7109375" style="30" customWidth="1"/>
    <col min="1272" max="1272" width="14.5703125" style="30" customWidth="1"/>
    <col min="1273" max="1273" width="14.7109375" style="30" customWidth="1"/>
    <col min="1274" max="1274" width="14.5703125" style="30" customWidth="1"/>
    <col min="1275" max="1275" width="11" style="30" customWidth="1"/>
    <col min="1276" max="1277" width="10.42578125" style="30" customWidth="1"/>
    <col min="1278" max="1279" width="11" style="30" customWidth="1"/>
    <col min="1280" max="1280" width="14.7109375" style="30" customWidth="1"/>
    <col min="1281" max="1281" width="12.28515625" style="30" customWidth="1"/>
    <col min="1282" max="1282" width="10.42578125" style="30" customWidth="1"/>
    <col min="1283" max="1285" width="9.140625" style="30"/>
    <col min="1286" max="1286" width="12" style="30" customWidth="1"/>
    <col min="1287" max="1287" width="13.5703125" style="30" customWidth="1"/>
    <col min="1288" max="1288" width="16.85546875" style="30" bestFit="1" customWidth="1"/>
    <col min="1289" max="1291" width="7.42578125" style="30" customWidth="1"/>
    <col min="1292" max="1292" width="8.7109375" style="30" bestFit="1" customWidth="1"/>
    <col min="1293" max="1294" width="11.42578125" style="30" customWidth="1"/>
    <col min="1295" max="1295" width="14.140625" style="30" customWidth="1"/>
    <col min="1296" max="1296" width="13.42578125" style="30" customWidth="1"/>
    <col min="1297" max="1301" width="13" style="30" customWidth="1"/>
    <col min="1302" max="1302" width="11.42578125" style="30" customWidth="1"/>
    <col min="1303" max="1303" width="15.5703125" style="30" customWidth="1"/>
    <col min="1304" max="1526" width="9.140625" style="30"/>
    <col min="1527" max="1527" width="13.7109375" style="30" customWidth="1"/>
    <col min="1528" max="1528" width="14.5703125" style="30" customWidth="1"/>
    <col min="1529" max="1529" width="14.7109375" style="30" customWidth="1"/>
    <col min="1530" max="1530" width="14.5703125" style="30" customWidth="1"/>
    <col min="1531" max="1531" width="11" style="30" customWidth="1"/>
    <col min="1532" max="1533" width="10.42578125" style="30" customWidth="1"/>
    <col min="1534" max="1535" width="11" style="30" customWidth="1"/>
    <col min="1536" max="1536" width="14.7109375" style="30" customWidth="1"/>
    <col min="1537" max="1537" width="12.28515625" style="30" customWidth="1"/>
    <col min="1538" max="1538" width="10.42578125" style="30" customWidth="1"/>
    <col min="1539" max="1541" width="9.140625" style="30"/>
    <col min="1542" max="1542" width="12" style="30" customWidth="1"/>
    <col min="1543" max="1543" width="13.5703125" style="30" customWidth="1"/>
    <col min="1544" max="1544" width="16.85546875" style="30" bestFit="1" customWidth="1"/>
    <col min="1545" max="1547" width="7.42578125" style="30" customWidth="1"/>
    <col min="1548" max="1548" width="8.7109375" style="30" bestFit="1" customWidth="1"/>
    <col min="1549" max="1550" width="11.42578125" style="30" customWidth="1"/>
    <col min="1551" max="1551" width="14.140625" style="30" customWidth="1"/>
    <col min="1552" max="1552" width="13.42578125" style="30" customWidth="1"/>
    <col min="1553" max="1557" width="13" style="30" customWidth="1"/>
    <col min="1558" max="1558" width="11.42578125" style="30" customWidth="1"/>
    <col min="1559" max="1559" width="15.5703125" style="30" customWidth="1"/>
    <col min="1560" max="1782" width="9.140625" style="30"/>
    <col min="1783" max="1783" width="13.7109375" style="30" customWidth="1"/>
    <col min="1784" max="1784" width="14.5703125" style="30" customWidth="1"/>
    <col min="1785" max="1785" width="14.7109375" style="30" customWidth="1"/>
    <col min="1786" max="1786" width="14.5703125" style="30" customWidth="1"/>
    <col min="1787" max="1787" width="11" style="30" customWidth="1"/>
    <col min="1788" max="1789" width="10.42578125" style="30" customWidth="1"/>
    <col min="1790" max="1791" width="11" style="30" customWidth="1"/>
    <col min="1792" max="1792" width="14.7109375" style="30" customWidth="1"/>
    <col min="1793" max="1793" width="12.28515625" style="30" customWidth="1"/>
    <col min="1794" max="1794" width="10.42578125" style="30" customWidth="1"/>
    <col min="1795" max="1797" width="9.140625" style="30"/>
    <col min="1798" max="1798" width="12" style="30" customWidth="1"/>
    <col min="1799" max="1799" width="13.5703125" style="30" customWidth="1"/>
    <col min="1800" max="1800" width="16.85546875" style="30" bestFit="1" customWidth="1"/>
    <col min="1801" max="1803" width="7.42578125" style="30" customWidth="1"/>
    <col min="1804" max="1804" width="8.7109375" style="30" bestFit="1" customWidth="1"/>
    <col min="1805" max="1806" width="11.42578125" style="30" customWidth="1"/>
    <col min="1807" max="1807" width="14.140625" style="30" customWidth="1"/>
    <col min="1808" max="1808" width="13.42578125" style="30" customWidth="1"/>
    <col min="1809" max="1813" width="13" style="30" customWidth="1"/>
    <col min="1814" max="1814" width="11.42578125" style="30" customWidth="1"/>
    <col min="1815" max="1815" width="15.5703125" style="30" customWidth="1"/>
    <col min="1816" max="2038" width="9.140625" style="30"/>
    <col min="2039" max="2039" width="13.7109375" style="30" customWidth="1"/>
    <col min="2040" max="2040" width="14.5703125" style="30" customWidth="1"/>
    <col min="2041" max="2041" width="14.7109375" style="30" customWidth="1"/>
    <col min="2042" max="2042" width="14.5703125" style="30" customWidth="1"/>
    <col min="2043" max="2043" width="11" style="30" customWidth="1"/>
    <col min="2044" max="2045" width="10.42578125" style="30" customWidth="1"/>
    <col min="2046" max="2047" width="11" style="30" customWidth="1"/>
    <col min="2048" max="2048" width="14.7109375" style="30" customWidth="1"/>
    <col min="2049" max="2049" width="12.28515625" style="30" customWidth="1"/>
    <col min="2050" max="2050" width="10.42578125" style="30" customWidth="1"/>
    <col min="2051" max="2053" width="9.140625" style="30"/>
    <col min="2054" max="2054" width="12" style="30" customWidth="1"/>
    <col min="2055" max="2055" width="13.5703125" style="30" customWidth="1"/>
    <col min="2056" max="2056" width="16.85546875" style="30" bestFit="1" customWidth="1"/>
    <col min="2057" max="2059" width="7.42578125" style="30" customWidth="1"/>
    <col min="2060" max="2060" width="8.7109375" style="30" bestFit="1" customWidth="1"/>
    <col min="2061" max="2062" width="11.42578125" style="30" customWidth="1"/>
    <col min="2063" max="2063" width="14.140625" style="30" customWidth="1"/>
    <col min="2064" max="2064" width="13.42578125" style="30" customWidth="1"/>
    <col min="2065" max="2069" width="13" style="30" customWidth="1"/>
    <col min="2070" max="2070" width="11.42578125" style="30" customWidth="1"/>
    <col min="2071" max="2071" width="15.5703125" style="30" customWidth="1"/>
    <col min="2072" max="2294" width="9.140625" style="30"/>
    <col min="2295" max="2295" width="13.7109375" style="30" customWidth="1"/>
    <col min="2296" max="2296" width="14.5703125" style="30" customWidth="1"/>
    <col min="2297" max="2297" width="14.7109375" style="30" customWidth="1"/>
    <col min="2298" max="2298" width="14.5703125" style="30" customWidth="1"/>
    <col min="2299" max="2299" width="11" style="30" customWidth="1"/>
    <col min="2300" max="2301" width="10.42578125" style="30" customWidth="1"/>
    <col min="2302" max="2303" width="11" style="30" customWidth="1"/>
    <col min="2304" max="2304" width="14.7109375" style="30" customWidth="1"/>
    <col min="2305" max="2305" width="12.28515625" style="30" customWidth="1"/>
    <col min="2306" max="2306" width="10.42578125" style="30" customWidth="1"/>
    <col min="2307" max="2309" width="9.140625" style="30"/>
    <col min="2310" max="2310" width="12" style="30" customWidth="1"/>
    <col min="2311" max="2311" width="13.5703125" style="30" customWidth="1"/>
    <col min="2312" max="2312" width="16.85546875" style="30" bestFit="1" customWidth="1"/>
    <col min="2313" max="2315" width="7.42578125" style="30" customWidth="1"/>
    <col min="2316" max="2316" width="8.7109375" style="30" bestFit="1" customWidth="1"/>
    <col min="2317" max="2318" width="11.42578125" style="30" customWidth="1"/>
    <col min="2319" max="2319" width="14.140625" style="30" customWidth="1"/>
    <col min="2320" max="2320" width="13.42578125" style="30" customWidth="1"/>
    <col min="2321" max="2325" width="13" style="30" customWidth="1"/>
    <col min="2326" max="2326" width="11.42578125" style="30" customWidth="1"/>
    <col min="2327" max="2327" width="15.5703125" style="30" customWidth="1"/>
    <col min="2328" max="2550" width="9.140625" style="30"/>
    <col min="2551" max="2551" width="13.7109375" style="30" customWidth="1"/>
    <col min="2552" max="2552" width="14.5703125" style="30" customWidth="1"/>
    <col min="2553" max="2553" width="14.7109375" style="30" customWidth="1"/>
    <col min="2554" max="2554" width="14.5703125" style="30" customWidth="1"/>
    <col min="2555" max="2555" width="11" style="30" customWidth="1"/>
    <col min="2556" max="2557" width="10.42578125" style="30" customWidth="1"/>
    <col min="2558" max="2559" width="11" style="30" customWidth="1"/>
    <col min="2560" max="2560" width="14.7109375" style="30" customWidth="1"/>
    <col min="2561" max="2561" width="12.28515625" style="30" customWidth="1"/>
    <col min="2562" max="2562" width="10.42578125" style="30" customWidth="1"/>
    <col min="2563" max="2565" width="9.140625" style="30"/>
    <col min="2566" max="2566" width="12" style="30" customWidth="1"/>
    <col min="2567" max="2567" width="13.5703125" style="30" customWidth="1"/>
    <col min="2568" max="2568" width="16.85546875" style="30" bestFit="1" customWidth="1"/>
    <col min="2569" max="2571" width="7.42578125" style="30" customWidth="1"/>
    <col min="2572" max="2572" width="8.7109375" style="30" bestFit="1" customWidth="1"/>
    <col min="2573" max="2574" width="11.42578125" style="30" customWidth="1"/>
    <col min="2575" max="2575" width="14.140625" style="30" customWidth="1"/>
    <col min="2576" max="2576" width="13.42578125" style="30" customWidth="1"/>
    <col min="2577" max="2581" width="13" style="30" customWidth="1"/>
    <col min="2582" max="2582" width="11.42578125" style="30" customWidth="1"/>
    <col min="2583" max="2583" width="15.5703125" style="30" customWidth="1"/>
    <col min="2584" max="2806" width="9.140625" style="30"/>
    <col min="2807" max="2807" width="13.7109375" style="30" customWidth="1"/>
    <col min="2808" max="2808" width="14.5703125" style="30" customWidth="1"/>
    <col min="2809" max="2809" width="14.7109375" style="30" customWidth="1"/>
    <col min="2810" max="2810" width="14.5703125" style="30" customWidth="1"/>
    <col min="2811" max="2811" width="11" style="30" customWidth="1"/>
    <col min="2812" max="2813" width="10.42578125" style="30" customWidth="1"/>
    <col min="2814" max="2815" width="11" style="30" customWidth="1"/>
    <col min="2816" max="2816" width="14.7109375" style="30" customWidth="1"/>
    <col min="2817" max="2817" width="12.28515625" style="30" customWidth="1"/>
    <col min="2818" max="2818" width="10.42578125" style="30" customWidth="1"/>
    <col min="2819" max="2821" width="9.140625" style="30"/>
    <col min="2822" max="2822" width="12" style="30" customWidth="1"/>
    <col min="2823" max="2823" width="13.5703125" style="30" customWidth="1"/>
    <col min="2824" max="2824" width="16.85546875" style="30" bestFit="1" customWidth="1"/>
    <col min="2825" max="2827" width="7.42578125" style="30" customWidth="1"/>
    <col min="2828" max="2828" width="8.7109375" style="30" bestFit="1" customWidth="1"/>
    <col min="2829" max="2830" width="11.42578125" style="30" customWidth="1"/>
    <col min="2831" max="2831" width="14.140625" style="30" customWidth="1"/>
    <col min="2832" max="2832" width="13.42578125" style="30" customWidth="1"/>
    <col min="2833" max="2837" width="13" style="30" customWidth="1"/>
    <col min="2838" max="2838" width="11.42578125" style="30" customWidth="1"/>
    <col min="2839" max="2839" width="15.5703125" style="30" customWidth="1"/>
    <col min="2840" max="3062" width="9.140625" style="30"/>
    <col min="3063" max="3063" width="13.7109375" style="30" customWidth="1"/>
    <col min="3064" max="3064" width="14.5703125" style="30" customWidth="1"/>
    <col min="3065" max="3065" width="14.7109375" style="30" customWidth="1"/>
    <col min="3066" max="3066" width="14.5703125" style="30" customWidth="1"/>
    <col min="3067" max="3067" width="11" style="30" customWidth="1"/>
    <col min="3068" max="3069" width="10.42578125" style="30" customWidth="1"/>
    <col min="3070" max="3071" width="11" style="30" customWidth="1"/>
    <col min="3072" max="3072" width="14.7109375" style="30" customWidth="1"/>
    <col min="3073" max="3073" width="12.28515625" style="30" customWidth="1"/>
    <col min="3074" max="3074" width="10.42578125" style="30" customWidth="1"/>
    <col min="3075" max="3077" width="9.140625" style="30"/>
    <col min="3078" max="3078" width="12" style="30" customWidth="1"/>
    <col min="3079" max="3079" width="13.5703125" style="30" customWidth="1"/>
    <col min="3080" max="3080" width="16.85546875" style="30" bestFit="1" customWidth="1"/>
    <col min="3081" max="3083" width="7.42578125" style="30" customWidth="1"/>
    <col min="3084" max="3084" width="8.7109375" style="30" bestFit="1" customWidth="1"/>
    <col min="3085" max="3086" width="11.42578125" style="30" customWidth="1"/>
    <col min="3087" max="3087" width="14.140625" style="30" customWidth="1"/>
    <col min="3088" max="3088" width="13.42578125" style="30" customWidth="1"/>
    <col min="3089" max="3093" width="13" style="30" customWidth="1"/>
    <col min="3094" max="3094" width="11.42578125" style="30" customWidth="1"/>
    <col min="3095" max="3095" width="15.5703125" style="30" customWidth="1"/>
    <col min="3096" max="3318" width="9.140625" style="30"/>
    <col min="3319" max="3319" width="13.7109375" style="30" customWidth="1"/>
    <col min="3320" max="3320" width="14.5703125" style="30" customWidth="1"/>
    <col min="3321" max="3321" width="14.7109375" style="30" customWidth="1"/>
    <col min="3322" max="3322" width="14.5703125" style="30" customWidth="1"/>
    <col min="3323" max="3323" width="11" style="30" customWidth="1"/>
    <col min="3324" max="3325" width="10.42578125" style="30" customWidth="1"/>
    <col min="3326" max="3327" width="11" style="30" customWidth="1"/>
    <col min="3328" max="3328" width="14.7109375" style="30" customWidth="1"/>
    <col min="3329" max="3329" width="12.28515625" style="30" customWidth="1"/>
    <col min="3330" max="3330" width="10.42578125" style="30" customWidth="1"/>
    <col min="3331" max="3333" width="9.140625" style="30"/>
    <col min="3334" max="3334" width="12" style="30" customWidth="1"/>
    <col min="3335" max="3335" width="13.5703125" style="30" customWidth="1"/>
    <col min="3336" max="3336" width="16.85546875" style="30" bestFit="1" customWidth="1"/>
    <col min="3337" max="3339" width="7.42578125" style="30" customWidth="1"/>
    <col min="3340" max="3340" width="8.7109375" style="30" bestFit="1" customWidth="1"/>
    <col min="3341" max="3342" width="11.42578125" style="30" customWidth="1"/>
    <col min="3343" max="3343" width="14.140625" style="30" customWidth="1"/>
    <col min="3344" max="3344" width="13.42578125" style="30" customWidth="1"/>
    <col min="3345" max="3349" width="13" style="30" customWidth="1"/>
    <col min="3350" max="3350" width="11.42578125" style="30" customWidth="1"/>
    <col min="3351" max="3351" width="15.5703125" style="30" customWidth="1"/>
    <col min="3352" max="3574" width="9.140625" style="30"/>
    <col min="3575" max="3575" width="13.7109375" style="30" customWidth="1"/>
    <col min="3576" max="3576" width="14.5703125" style="30" customWidth="1"/>
    <col min="3577" max="3577" width="14.7109375" style="30" customWidth="1"/>
    <col min="3578" max="3578" width="14.5703125" style="30" customWidth="1"/>
    <col min="3579" max="3579" width="11" style="30" customWidth="1"/>
    <col min="3580" max="3581" width="10.42578125" style="30" customWidth="1"/>
    <col min="3582" max="3583" width="11" style="30" customWidth="1"/>
    <col min="3584" max="3584" width="14.7109375" style="30" customWidth="1"/>
    <col min="3585" max="3585" width="12.28515625" style="30" customWidth="1"/>
    <col min="3586" max="3586" width="10.42578125" style="30" customWidth="1"/>
    <col min="3587" max="3589" width="9.140625" style="30"/>
    <col min="3590" max="3590" width="12" style="30" customWidth="1"/>
    <col min="3591" max="3591" width="13.5703125" style="30" customWidth="1"/>
    <col min="3592" max="3592" width="16.85546875" style="30" bestFit="1" customWidth="1"/>
    <col min="3593" max="3595" width="7.42578125" style="30" customWidth="1"/>
    <col min="3596" max="3596" width="8.7109375" style="30" bestFit="1" customWidth="1"/>
    <col min="3597" max="3598" width="11.42578125" style="30" customWidth="1"/>
    <col min="3599" max="3599" width="14.140625" style="30" customWidth="1"/>
    <col min="3600" max="3600" width="13.42578125" style="30" customWidth="1"/>
    <col min="3601" max="3605" width="13" style="30" customWidth="1"/>
    <col min="3606" max="3606" width="11.42578125" style="30" customWidth="1"/>
    <col min="3607" max="3607" width="15.5703125" style="30" customWidth="1"/>
    <col min="3608" max="3830" width="9.140625" style="30"/>
    <col min="3831" max="3831" width="13.7109375" style="30" customWidth="1"/>
    <col min="3832" max="3832" width="14.5703125" style="30" customWidth="1"/>
    <col min="3833" max="3833" width="14.7109375" style="30" customWidth="1"/>
    <col min="3834" max="3834" width="14.5703125" style="30" customWidth="1"/>
    <col min="3835" max="3835" width="11" style="30" customWidth="1"/>
    <col min="3836" max="3837" width="10.42578125" style="30" customWidth="1"/>
    <col min="3838" max="3839" width="11" style="30" customWidth="1"/>
    <col min="3840" max="3840" width="14.7109375" style="30" customWidth="1"/>
    <col min="3841" max="3841" width="12.28515625" style="30" customWidth="1"/>
    <col min="3842" max="3842" width="10.42578125" style="30" customWidth="1"/>
    <col min="3843" max="3845" width="9.140625" style="30"/>
    <col min="3846" max="3846" width="12" style="30" customWidth="1"/>
    <col min="3847" max="3847" width="13.5703125" style="30" customWidth="1"/>
    <col min="3848" max="3848" width="16.85546875" style="30" bestFit="1" customWidth="1"/>
    <col min="3849" max="3851" width="7.42578125" style="30" customWidth="1"/>
    <col min="3852" max="3852" width="8.7109375" style="30" bestFit="1" customWidth="1"/>
    <col min="3853" max="3854" width="11.42578125" style="30" customWidth="1"/>
    <col min="3855" max="3855" width="14.140625" style="30" customWidth="1"/>
    <col min="3856" max="3856" width="13.42578125" style="30" customWidth="1"/>
    <col min="3857" max="3861" width="13" style="30" customWidth="1"/>
    <col min="3862" max="3862" width="11.42578125" style="30" customWidth="1"/>
    <col min="3863" max="3863" width="15.5703125" style="30" customWidth="1"/>
    <col min="3864" max="4086" width="9.140625" style="30"/>
    <col min="4087" max="4087" width="13.7109375" style="30" customWidth="1"/>
    <col min="4088" max="4088" width="14.5703125" style="30" customWidth="1"/>
    <col min="4089" max="4089" width="14.7109375" style="30" customWidth="1"/>
    <col min="4090" max="4090" width="14.5703125" style="30" customWidth="1"/>
    <col min="4091" max="4091" width="11" style="30" customWidth="1"/>
    <col min="4092" max="4093" width="10.42578125" style="30" customWidth="1"/>
    <col min="4094" max="4095" width="11" style="30" customWidth="1"/>
    <col min="4096" max="4096" width="14.7109375" style="30" customWidth="1"/>
    <col min="4097" max="4097" width="12.28515625" style="30" customWidth="1"/>
    <col min="4098" max="4098" width="10.42578125" style="30" customWidth="1"/>
    <col min="4099" max="4101" width="9.140625" style="30"/>
    <col min="4102" max="4102" width="12" style="30" customWidth="1"/>
    <col min="4103" max="4103" width="13.5703125" style="30" customWidth="1"/>
    <col min="4104" max="4104" width="16.85546875" style="30" bestFit="1" customWidth="1"/>
    <col min="4105" max="4107" width="7.42578125" style="30" customWidth="1"/>
    <col min="4108" max="4108" width="8.7109375" style="30" bestFit="1" customWidth="1"/>
    <col min="4109" max="4110" width="11.42578125" style="30" customWidth="1"/>
    <col min="4111" max="4111" width="14.140625" style="30" customWidth="1"/>
    <col min="4112" max="4112" width="13.42578125" style="30" customWidth="1"/>
    <col min="4113" max="4117" width="13" style="30" customWidth="1"/>
    <col min="4118" max="4118" width="11.42578125" style="30" customWidth="1"/>
    <col min="4119" max="4119" width="15.5703125" style="30" customWidth="1"/>
    <col min="4120" max="4342" width="9.140625" style="30"/>
    <col min="4343" max="4343" width="13.7109375" style="30" customWidth="1"/>
    <col min="4344" max="4344" width="14.5703125" style="30" customWidth="1"/>
    <col min="4345" max="4345" width="14.7109375" style="30" customWidth="1"/>
    <col min="4346" max="4346" width="14.5703125" style="30" customWidth="1"/>
    <col min="4347" max="4347" width="11" style="30" customWidth="1"/>
    <col min="4348" max="4349" width="10.42578125" style="30" customWidth="1"/>
    <col min="4350" max="4351" width="11" style="30" customWidth="1"/>
    <col min="4352" max="4352" width="14.7109375" style="30" customWidth="1"/>
    <col min="4353" max="4353" width="12.28515625" style="30" customWidth="1"/>
    <col min="4354" max="4354" width="10.42578125" style="30" customWidth="1"/>
    <col min="4355" max="4357" width="9.140625" style="30"/>
    <col min="4358" max="4358" width="12" style="30" customWidth="1"/>
    <col min="4359" max="4359" width="13.5703125" style="30" customWidth="1"/>
    <col min="4360" max="4360" width="16.85546875" style="30" bestFit="1" customWidth="1"/>
    <col min="4361" max="4363" width="7.42578125" style="30" customWidth="1"/>
    <col min="4364" max="4364" width="8.7109375" style="30" bestFit="1" customWidth="1"/>
    <col min="4365" max="4366" width="11.42578125" style="30" customWidth="1"/>
    <col min="4367" max="4367" width="14.140625" style="30" customWidth="1"/>
    <col min="4368" max="4368" width="13.42578125" style="30" customWidth="1"/>
    <col min="4369" max="4373" width="13" style="30" customWidth="1"/>
    <col min="4374" max="4374" width="11.42578125" style="30" customWidth="1"/>
    <col min="4375" max="4375" width="15.5703125" style="30" customWidth="1"/>
    <col min="4376" max="4598" width="9.140625" style="30"/>
    <col min="4599" max="4599" width="13.7109375" style="30" customWidth="1"/>
    <col min="4600" max="4600" width="14.5703125" style="30" customWidth="1"/>
    <col min="4601" max="4601" width="14.7109375" style="30" customWidth="1"/>
    <col min="4602" max="4602" width="14.5703125" style="30" customWidth="1"/>
    <col min="4603" max="4603" width="11" style="30" customWidth="1"/>
    <col min="4604" max="4605" width="10.42578125" style="30" customWidth="1"/>
    <col min="4606" max="4607" width="11" style="30" customWidth="1"/>
    <col min="4608" max="4608" width="14.7109375" style="30" customWidth="1"/>
    <col min="4609" max="4609" width="12.28515625" style="30" customWidth="1"/>
    <col min="4610" max="4610" width="10.42578125" style="30" customWidth="1"/>
    <col min="4611" max="4613" width="9.140625" style="30"/>
    <col min="4614" max="4614" width="12" style="30" customWidth="1"/>
    <col min="4615" max="4615" width="13.5703125" style="30" customWidth="1"/>
    <col min="4616" max="4616" width="16.85546875" style="30" bestFit="1" customWidth="1"/>
    <col min="4617" max="4619" width="7.42578125" style="30" customWidth="1"/>
    <col min="4620" max="4620" width="8.7109375" style="30" bestFit="1" customWidth="1"/>
    <col min="4621" max="4622" width="11.42578125" style="30" customWidth="1"/>
    <col min="4623" max="4623" width="14.140625" style="30" customWidth="1"/>
    <col min="4624" max="4624" width="13.42578125" style="30" customWidth="1"/>
    <col min="4625" max="4629" width="13" style="30" customWidth="1"/>
    <col min="4630" max="4630" width="11.42578125" style="30" customWidth="1"/>
    <col min="4631" max="4631" width="15.5703125" style="30" customWidth="1"/>
    <col min="4632" max="4854" width="9.140625" style="30"/>
    <col min="4855" max="4855" width="13.7109375" style="30" customWidth="1"/>
    <col min="4856" max="4856" width="14.5703125" style="30" customWidth="1"/>
    <col min="4857" max="4857" width="14.7109375" style="30" customWidth="1"/>
    <col min="4858" max="4858" width="14.5703125" style="30" customWidth="1"/>
    <col min="4859" max="4859" width="11" style="30" customWidth="1"/>
    <col min="4860" max="4861" width="10.42578125" style="30" customWidth="1"/>
    <col min="4862" max="4863" width="11" style="30" customWidth="1"/>
    <col min="4864" max="4864" width="14.7109375" style="30" customWidth="1"/>
    <col min="4865" max="4865" width="12.28515625" style="30" customWidth="1"/>
    <col min="4866" max="4866" width="10.42578125" style="30" customWidth="1"/>
    <col min="4867" max="4869" width="9.140625" style="30"/>
    <col min="4870" max="4870" width="12" style="30" customWidth="1"/>
    <col min="4871" max="4871" width="13.5703125" style="30" customWidth="1"/>
    <col min="4872" max="4872" width="16.85546875" style="30" bestFit="1" customWidth="1"/>
    <col min="4873" max="4875" width="7.42578125" style="30" customWidth="1"/>
    <col min="4876" max="4876" width="8.7109375" style="30" bestFit="1" customWidth="1"/>
    <col min="4877" max="4878" width="11.42578125" style="30" customWidth="1"/>
    <col min="4879" max="4879" width="14.140625" style="30" customWidth="1"/>
    <col min="4880" max="4880" width="13.42578125" style="30" customWidth="1"/>
    <col min="4881" max="4885" width="13" style="30" customWidth="1"/>
    <col min="4886" max="4886" width="11.42578125" style="30" customWidth="1"/>
    <col min="4887" max="4887" width="15.5703125" style="30" customWidth="1"/>
    <col min="4888" max="5110" width="9.140625" style="30"/>
    <col min="5111" max="5111" width="13.7109375" style="30" customWidth="1"/>
    <col min="5112" max="5112" width="14.5703125" style="30" customWidth="1"/>
    <col min="5113" max="5113" width="14.7109375" style="30" customWidth="1"/>
    <col min="5114" max="5114" width="14.5703125" style="30" customWidth="1"/>
    <col min="5115" max="5115" width="11" style="30" customWidth="1"/>
    <col min="5116" max="5117" width="10.42578125" style="30" customWidth="1"/>
    <col min="5118" max="5119" width="11" style="30" customWidth="1"/>
    <col min="5120" max="5120" width="14.7109375" style="30" customWidth="1"/>
    <col min="5121" max="5121" width="12.28515625" style="30" customWidth="1"/>
    <col min="5122" max="5122" width="10.42578125" style="30" customWidth="1"/>
    <col min="5123" max="5125" width="9.140625" style="30"/>
    <col min="5126" max="5126" width="12" style="30" customWidth="1"/>
    <col min="5127" max="5127" width="13.5703125" style="30" customWidth="1"/>
    <col min="5128" max="5128" width="16.85546875" style="30" bestFit="1" customWidth="1"/>
    <col min="5129" max="5131" width="7.42578125" style="30" customWidth="1"/>
    <col min="5132" max="5132" width="8.7109375" style="30" bestFit="1" customWidth="1"/>
    <col min="5133" max="5134" width="11.42578125" style="30" customWidth="1"/>
    <col min="5135" max="5135" width="14.140625" style="30" customWidth="1"/>
    <col min="5136" max="5136" width="13.42578125" style="30" customWidth="1"/>
    <col min="5137" max="5141" width="13" style="30" customWidth="1"/>
    <col min="5142" max="5142" width="11.42578125" style="30" customWidth="1"/>
    <col min="5143" max="5143" width="15.5703125" style="30" customWidth="1"/>
    <col min="5144" max="5366" width="9.140625" style="30"/>
    <col min="5367" max="5367" width="13.7109375" style="30" customWidth="1"/>
    <col min="5368" max="5368" width="14.5703125" style="30" customWidth="1"/>
    <col min="5369" max="5369" width="14.7109375" style="30" customWidth="1"/>
    <col min="5370" max="5370" width="14.5703125" style="30" customWidth="1"/>
    <col min="5371" max="5371" width="11" style="30" customWidth="1"/>
    <col min="5372" max="5373" width="10.42578125" style="30" customWidth="1"/>
    <col min="5374" max="5375" width="11" style="30" customWidth="1"/>
    <col min="5376" max="5376" width="14.7109375" style="30" customWidth="1"/>
    <col min="5377" max="5377" width="12.28515625" style="30" customWidth="1"/>
    <col min="5378" max="5378" width="10.42578125" style="30" customWidth="1"/>
    <col min="5379" max="5381" width="9.140625" style="30"/>
    <col min="5382" max="5382" width="12" style="30" customWidth="1"/>
    <col min="5383" max="5383" width="13.5703125" style="30" customWidth="1"/>
    <col min="5384" max="5384" width="16.85546875" style="30" bestFit="1" customWidth="1"/>
    <col min="5385" max="5387" width="7.42578125" style="30" customWidth="1"/>
    <col min="5388" max="5388" width="8.7109375" style="30" bestFit="1" customWidth="1"/>
    <col min="5389" max="5390" width="11.42578125" style="30" customWidth="1"/>
    <col min="5391" max="5391" width="14.140625" style="30" customWidth="1"/>
    <col min="5392" max="5392" width="13.42578125" style="30" customWidth="1"/>
    <col min="5393" max="5397" width="13" style="30" customWidth="1"/>
    <col min="5398" max="5398" width="11.42578125" style="30" customWidth="1"/>
    <col min="5399" max="5399" width="15.5703125" style="30" customWidth="1"/>
    <col min="5400" max="5622" width="9.140625" style="30"/>
    <col min="5623" max="5623" width="13.7109375" style="30" customWidth="1"/>
    <col min="5624" max="5624" width="14.5703125" style="30" customWidth="1"/>
    <col min="5625" max="5625" width="14.7109375" style="30" customWidth="1"/>
    <col min="5626" max="5626" width="14.5703125" style="30" customWidth="1"/>
    <col min="5627" max="5627" width="11" style="30" customWidth="1"/>
    <col min="5628" max="5629" width="10.42578125" style="30" customWidth="1"/>
    <col min="5630" max="5631" width="11" style="30" customWidth="1"/>
    <col min="5632" max="5632" width="14.7109375" style="30" customWidth="1"/>
    <col min="5633" max="5633" width="12.28515625" style="30" customWidth="1"/>
    <col min="5634" max="5634" width="10.42578125" style="30" customWidth="1"/>
    <col min="5635" max="5637" width="9.140625" style="30"/>
    <col min="5638" max="5638" width="12" style="30" customWidth="1"/>
    <col min="5639" max="5639" width="13.5703125" style="30" customWidth="1"/>
    <col min="5640" max="5640" width="16.85546875" style="30" bestFit="1" customWidth="1"/>
    <col min="5641" max="5643" width="7.42578125" style="30" customWidth="1"/>
    <col min="5644" max="5644" width="8.7109375" style="30" bestFit="1" customWidth="1"/>
    <col min="5645" max="5646" width="11.42578125" style="30" customWidth="1"/>
    <col min="5647" max="5647" width="14.140625" style="30" customWidth="1"/>
    <col min="5648" max="5648" width="13.42578125" style="30" customWidth="1"/>
    <col min="5649" max="5653" width="13" style="30" customWidth="1"/>
    <col min="5654" max="5654" width="11.42578125" style="30" customWidth="1"/>
    <col min="5655" max="5655" width="15.5703125" style="30" customWidth="1"/>
    <col min="5656" max="5878" width="9.140625" style="30"/>
    <col min="5879" max="5879" width="13.7109375" style="30" customWidth="1"/>
    <col min="5880" max="5880" width="14.5703125" style="30" customWidth="1"/>
    <col min="5881" max="5881" width="14.7109375" style="30" customWidth="1"/>
    <col min="5882" max="5882" width="14.5703125" style="30" customWidth="1"/>
    <col min="5883" max="5883" width="11" style="30" customWidth="1"/>
    <col min="5884" max="5885" width="10.42578125" style="30" customWidth="1"/>
    <col min="5886" max="5887" width="11" style="30" customWidth="1"/>
    <col min="5888" max="5888" width="14.7109375" style="30" customWidth="1"/>
    <col min="5889" max="5889" width="12.28515625" style="30" customWidth="1"/>
    <col min="5890" max="5890" width="10.42578125" style="30" customWidth="1"/>
    <col min="5891" max="5893" width="9.140625" style="30"/>
    <col min="5894" max="5894" width="12" style="30" customWidth="1"/>
    <col min="5895" max="5895" width="13.5703125" style="30" customWidth="1"/>
    <col min="5896" max="5896" width="16.85546875" style="30" bestFit="1" customWidth="1"/>
    <col min="5897" max="5899" width="7.42578125" style="30" customWidth="1"/>
    <col min="5900" max="5900" width="8.7109375" style="30" bestFit="1" customWidth="1"/>
    <col min="5901" max="5902" width="11.42578125" style="30" customWidth="1"/>
    <col min="5903" max="5903" width="14.140625" style="30" customWidth="1"/>
    <col min="5904" max="5904" width="13.42578125" style="30" customWidth="1"/>
    <col min="5905" max="5909" width="13" style="30" customWidth="1"/>
    <col min="5910" max="5910" width="11.42578125" style="30" customWidth="1"/>
    <col min="5911" max="5911" width="15.5703125" style="30" customWidth="1"/>
    <col min="5912" max="6134" width="9.140625" style="30"/>
    <col min="6135" max="6135" width="13.7109375" style="30" customWidth="1"/>
    <col min="6136" max="6136" width="14.5703125" style="30" customWidth="1"/>
    <col min="6137" max="6137" width="14.7109375" style="30" customWidth="1"/>
    <col min="6138" max="6138" width="14.5703125" style="30" customWidth="1"/>
    <col min="6139" max="6139" width="11" style="30" customWidth="1"/>
    <col min="6140" max="6141" width="10.42578125" style="30" customWidth="1"/>
    <col min="6142" max="6143" width="11" style="30" customWidth="1"/>
    <col min="6144" max="6144" width="14.7109375" style="30" customWidth="1"/>
    <col min="6145" max="6145" width="12.28515625" style="30" customWidth="1"/>
    <col min="6146" max="6146" width="10.42578125" style="30" customWidth="1"/>
    <col min="6147" max="6149" width="9.140625" style="30"/>
    <col min="6150" max="6150" width="12" style="30" customWidth="1"/>
    <col min="6151" max="6151" width="13.5703125" style="30" customWidth="1"/>
    <col min="6152" max="6152" width="16.85546875" style="30" bestFit="1" customWidth="1"/>
    <col min="6153" max="6155" width="7.42578125" style="30" customWidth="1"/>
    <col min="6156" max="6156" width="8.7109375" style="30" bestFit="1" customWidth="1"/>
    <col min="6157" max="6158" width="11.42578125" style="30" customWidth="1"/>
    <col min="6159" max="6159" width="14.140625" style="30" customWidth="1"/>
    <col min="6160" max="6160" width="13.42578125" style="30" customWidth="1"/>
    <col min="6161" max="6165" width="13" style="30" customWidth="1"/>
    <col min="6166" max="6166" width="11.42578125" style="30" customWidth="1"/>
    <col min="6167" max="6167" width="15.5703125" style="30" customWidth="1"/>
    <col min="6168" max="6390" width="9.140625" style="30"/>
    <col min="6391" max="6391" width="13.7109375" style="30" customWidth="1"/>
    <col min="6392" max="6392" width="14.5703125" style="30" customWidth="1"/>
    <col min="6393" max="6393" width="14.7109375" style="30" customWidth="1"/>
    <col min="6394" max="6394" width="14.5703125" style="30" customWidth="1"/>
    <col min="6395" max="6395" width="11" style="30" customWidth="1"/>
    <col min="6396" max="6397" width="10.42578125" style="30" customWidth="1"/>
    <col min="6398" max="6399" width="11" style="30" customWidth="1"/>
    <col min="6400" max="6400" width="14.7109375" style="30" customWidth="1"/>
    <col min="6401" max="6401" width="12.28515625" style="30" customWidth="1"/>
    <col min="6402" max="6402" width="10.42578125" style="30" customWidth="1"/>
    <col min="6403" max="6405" width="9.140625" style="30"/>
    <col min="6406" max="6406" width="12" style="30" customWidth="1"/>
    <col min="6407" max="6407" width="13.5703125" style="30" customWidth="1"/>
    <col min="6408" max="6408" width="16.85546875" style="30" bestFit="1" customWidth="1"/>
    <col min="6409" max="6411" width="7.42578125" style="30" customWidth="1"/>
    <col min="6412" max="6412" width="8.7109375" style="30" bestFit="1" customWidth="1"/>
    <col min="6413" max="6414" width="11.42578125" style="30" customWidth="1"/>
    <col min="6415" max="6415" width="14.140625" style="30" customWidth="1"/>
    <col min="6416" max="6416" width="13.42578125" style="30" customWidth="1"/>
    <col min="6417" max="6421" width="13" style="30" customWidth="1"/>
    <col min="6422" max="6422" width="11.42578125" style="30" customWidth="1"/>
    <col min="6423" max="6423" width="15.5703125" style="30" customWidth="1"/>
    <col min="6424" max="6646" width="9.140625" style="30"/>
    <col min="6647" max="6647" width="13.7109375" style="30" customWidth="1"/>
    <col min="6648" max="6648" width="14.5703125" style="30" customWidth="1"/>
    <col min="6649" max="6649" width="14.7109375" style="30" customWidth="1"/>
    <col min="6650" max="6650" width="14.5703125" style="30" customWidth="1"/>
    <col min="6651" max="6651" width="11" style="30" customWidth="1"/>
    <col min="6652" max="6653" width="10.42578125" style="30" customWidth="1"/>
    <col min="6654" max="6655" width="11" style="30" customWidth="1"/>
    <col min="6656" max="6656" width="14.7109375" style="30" customWidth="1"/>
    <col min="6657" max="6657" width="12.28515625" style="30" customWidth="1"/>
    <col min="6658" max="6658" width="10.42578125" style="30" customWidth="1"/>
    <col min="6659" max="6661" width="9.140625" style="30"/>
    <col min="6662" max="6662" width="12" style="30" customWidth="1"/>
    <col min="6663" max="6663" width="13.5703125" style="30" customWidth="1"/>
    <col min="6664" max="6664" width="16.85546875" style="30" bestFit="1" customWidth="1"/>
    <col min="6665" max="6667" width="7.42578125" style="30" customWidth="1"/>
    <col min="6668" max="6668" width="8.7109375" style="30" bestFit="1" customWidth="1"/>
    <col min="6669" max="6670" width="11.42578125" style="30" customWidth="1"/>
    <col min="6671" max="6671" width="14.140625" style="30" customWidth="1"/>
    <col min="6672" max="6672" width="13.42578125" style="30" customWidth="1"/>
    <col min="6673" max="6677" width="13" style="30" customWidth="1"/>
    <col min="6678" max="6678" width="11.42578125" style="30" customWidth="1"/>
    <col min="6679" max="6679" width="15.5703125" style="30" customWidth="1"/>
    <col min="6680" max="6902" width="9.140625" style="30"/>
    <col min="6903" max="6903" width="13.7109375" style="30" customWidth="1"/>
    <col min="6904" max="6904" width="14.5703125" style="30" customWidth="1"/>
    <col min="6905" max="6905" width="14.7109375" style="30" customWidth="1"/>
    <col min="6906" max="6906" width="14.5703125" style="30" customWidth="1"/>
    <col min="6907" max="6907" width="11" style="30" customWidth="1"/>
    <col min="6908" max="6909" width="10.42578125" style="30" customWidth="1"/>
    <col min="6910" max="6911" width="11" style="30" customWidth="1"/>
    <col min="6912" max="6912" width="14.7109375" style="30" customWidth="1"/>
    <col min="6913" max="6913" width="12.28515625" style="30" customWidth="1"/>
    <col min="6914" max="6914" width="10.42578125" style="30" customWidth="1"/>
    <col min="6915" max="6917" width="9.140625" style="30"/>
    <col min="6918" max="6918" width="12" style="30" customWidth="1"/>
    <col min="6919" max="6919" width="13.5703125" style="30" customWidth="1"/>
    <col min="6920" max="6920" width="16.85546875" style="30" bestFit="1" customWidth="1"/>
    <col min="6921" max="6923" width="7.42578125" style="30" customWidth="1"/>
    <col min="6924" max="6924" width="8.7109375" style="30" bestFit="1" customWidth="1"/>
    <col min="6925" max="6926" width="11.42578125" style="30" customWidth="1"/>
    <col min="6927" max="6927" width="14.140625" style="30" customWidth="1"/>
    <col min="6928" max="6928" width="13.42578125" style="30" customWidth="1"/>
    <col min="6929" max="6933" width="13" style="30" customWidth="1"/>
    <col min="6934" max="6934" width="11.42578125" style="30" customWidth="1"/>
    <col min="6935" max="6935" width="15.5703125" style="30" customWidth="1"/>
    <col min="6936" max="7158" width="9.140625" style="30"/>
    <col min="7159" max="7159" width="13.7109375" style="30" customWidth="1"/>
    <col min="7160" max="7160" width="14.5703125" style="30" customWidth="1"/>
    <col min="7161" max="7161" width="14.7109375" style="30" customWidth="1"/>
    <col min="7162" max="7162" width="14.5703125" style="30" customWidth="1"/>
    <col min="7163" max="7163" width="11" style="30" customWidth="1"/>
    <col min="7164" max="7165" width="10.42578125" style="30" customWidth="1"/>
    <col min="7166" max="7167" width="11" style="30" customWidth="1"/>
    <col min="7168" max="7168" width="14.7109375" style="30" customWidth="1"/>
    <col min="7169" max="7169" width="12.28515625" style="30" customWidth="1"/>
    <col min="7170" max="7170" width="10.42578125" style="30" customWidth="1"/>
    <col min="7171" max="7173" width="9.140625" style="30"/>
    <col min="7174" max="7174" width="12" style="30" customWidth="1"/>
    <col min="7175" max="7175" width="13.5703125" style="30" customWidth="1"/>
    <col min="7176" max="7176" width="16.85546875" style="30" bestFit="1" customWidth="1"/>
    <col min="7177" max="7179" width="7.42578125" style="30" customWidth="1"/>
    <col min="7180" max="7180" width="8.7109375" style="30" bestFit="1" customWidth="1"/>
    <col min="7181" max="7182" width="11.42578125" style="30" customWidth="1"/>
    <col min="7183" max="7183" width="14.140625" style="30" customWidth="1"/>
    <col min="7184" max="7184" width="13.42578125" style="30" customWidth="1"/>
    <col min="7185" max="7189" width="13" style="30" customWidth="1"/>
    <col min="7190" max="7190" width="11.42578125" style="30" customWidth="1"/>
    <col min="7191" max="7191" width="15.5703125" style="30" customWidth="1"/>
    <col min="7192" max="7414" width="9.140625" style="30"/>
    <col min="7415" max="7415" width="13.7109375" style="30" customWidth="1"/>
    <col min="7416" max="7416" width="14.5703125" style="30" customWidth="1"/>
    <col min="7417" max="7417" width="14.7109375" style="30" customWidth="1"/>
    <col min="7418" max="7418" width="14.5703125" style="30" customWidth="1"/>
    <col min="7419" max="7419" width="11" style="30" customWidth="1"/>
    <col min="7420" max="7421" width="10.42578125" style="30" customWidth="1"/>
    <col min="7422" max="7423" width="11" style="30" customWidth="1"/>
    <col min="7424" max="7424" width="14.7109375" style="30" customWidth="1"/>
    <col min="7425" max="7425" width="12.28515625" style="30" customWidth="1"/>
    <col min="7426" max="7426" width="10.42578125" style="30" customWidth="1"/>
    <col min="7427" max="7429" width="9.140625" style="30"/>
    <col min="7430" max="7430" width="12" style="30" customWidth="1"/>
    <col min="7431" max="7431" width="13.5703125" style="30" customWidth="1"/>
    <col min="7432" max="7432" width="16.85546875" style="30" bestFit="1" customWidth="1"/>
    <col min="7433" max="7435" width="7.42578125" style="30" customWidth="1"/>
    <col min="7436" max="7436" width="8.7109375" style="30" bestFit="1" customWidth="1"/>
    <col min="7437" max="7438" width="11.42578125" style="30" customWidth="1"/>
    <col min="7439" max="7439" width="14.140625" style="30" customWidth="1"/>
    <col min="7440" max="7440" width="13.42578125" style="30" customWidth="1"/>
    <col min="7441" max="7445" width="13" style="30" customWidth="1"/>
    <col min="7446" max="7446" width="11.42578125" style="30" customWidth="1"/>
    <col min="7447" max="7447" width="15.5703125" style="30" customWidth="1"/>
    <col min="7448" max="7670" width="9.140625" style="30"/>
    <col min="7671" max="7671" width="13.7109375" style="30" customWidth="1"/>
    <col min="7672" max="7672" width="14.5703125" style="30" customWidth="1"/>
    <col min="7673" max="7673" width="14.7109375" style="30" customWidth="1"/>
    <col min="7674" max="7674" width="14.5703125" style="30" customWidth="1"/>
    <col min="7675" max="7675" width="11" style="30" customWidth="1"/>
    <col min="7676" max="7677" width="10.42578125" style="30" customWidth="1"/>
    <col min="7678" max="7679" width="11" style="30" customWidth="1"/>
    <col min="7680" max="7680" width="14.7109375" style="30" customWidth="1"/>
    <col min="7681" max="7681" width="12.28515625" style="30" customWidth="1"/>
    <col min="7682" max="7682" width="10.42578125" style="30" customWidth="1"/>
    <col min="7683" max="7685" width="9.140625" style="30"/>
    <col min="7686" max="7686" width="12" style="30" customWidth="1"/>
    <col min="7687" max="7687" width="13.5703125" style="30" customWidth="1"/>
    <col min="7688" max="7688" width="16.85546875" style="30" bestFit="1" customWidth="1"/>
    <col min="7689" max="7691" width="7.42578125" style="30" customWidth="1"/>
    <col min="7692" max="7692" width="8.7109375" style="30" bestFit="1" customWidth="1"/>
    <col min="7693" max="7694" width="11.42578125" style="30" customWidth="1"/>
    <col min="7695" max="7695" width="14.140625" style="30" customWidth="1"/>
    <col min="7696" max="7696" width="13.42578125" style="30" customWidth="1"/>
    <col min="7697" max="7701" width="13" style="30" customWidth="1"/>
    <col min="7702" max="7702" width="11.42578125" style="30" customWidth="1"/>
    <col min="7703" max="7703" width="15.5703125" style="30" customWidth="1"/>
    <col min="7704" max="7926" width="9.140625" style="30"/>
    <col min="7927" max="7927" width="13.7109375" style="30" customWidth="1"/>
    <col min="7928" max="7928" width="14.5703125" style="30" customWidth="1"/>
    <col min="7929" max="7929" width="14.7109375" style="30" customWidth="1"/>
    <col min="7930" max="7930" width="14.5703125" style="30" customWidth="1"/>
    <col min="7931" max="7931" width="11" style="30" customWidth="1"/>
    <col min="7932" max="7933" width="10.42578125" style="30" customWidth="1"/>
    <col min="7934" max="7935" width="11" style="30" customWidth="1"/>
    <col min="7936" max="7936" width="14.7109375" style="30" customWidth="1"/>
    <col min="7937" max="7937" width="12.28515625" style="30" customWidth="1"/>
    <col min="7938" max="7938" width="10.42578125" style="30" customWidth="1"/>
    <col min="7939" max="7941" width="9.140625" style="30"/>
    <col min="7942" max="7942" width="12" style="30" customWidth="1"/>
    <col min="7943" max="7943" width="13.5703125" style="30" customWidth="1"/>
    <col min="7944" max="7944" width="16.85546875" style="30" bestFit="1" customWidth="1"/>
    <col min="7945" max="7947" width="7.42578125" style="30" customWidth="1"/>
    <col min="7948" max="7948" width="8.7109375" style="30" bestFit="1" customWidth="1"/>
    <col min="7949" max="7950" width="11.42578125" style="30" customWidth="1"/>
    <col min="7951" max="7951" width="14.140625" style="30" customWidth="1"/>
    <col min="7952" max="7952" width="13.42578125" style="30" customWidth="1"/>
    <col min="7953" max="7957" width="13" style="30" customWidth="1"/>
    <col min="7958" max="7958" width="11.42578125" style="30" customWidth="1"/>
    <col min="7959" max="7959" width="15.5703125" style="30" customWidth="1"/>
    <col min="7960" max="8182" width="9.140625" style="30"/>
    <col min="8183" max="8183" width="13.7109375" style="30" customWidth="1"/>
    <col min="8184" max="8184" width="14.5703125" style="30" customWidth="1"/>
    <col min="8185" max="8185" width="14.7109375" style="30" customWidth="1"/>
    <col min="8186" max="8186" width="14.5703125" style="30" customWidth="1"/>
    <col min="8187" max="8187" width="11" style="30" customWidth="1"/>
    <col min="8188" max="8189" width="10.42578125" style="30" customWidth="1"/>
    <col min="8190" max="8191" width="11" style="30" customWidth="1"/>
    <col min="8192" max="8192" width="14.7109375" style="30" customWidth="1"/>
    <col min="8193" max="8193" width="12.28515625" style="30" customWidth="1"/>
    <col min="8194" max="8194" width="10.42578125" style="30" customWidth="1"/>
    <col min="8195" max="8197" width="9.140625" style="30"/>
    <col min="8198" max="8198" width="12" style="30" customWidth="1"/>
    <col min="8199" max="8199" width="13.5703125" style="30" customWidth="1"/>
    <col min="8200" max="8200" width="16.85546875" style="30" bestFit="1" customWidth="1"/>
    <col min="8201" max="8203" width="7.42578125" style="30" customWidth="1"/>
    <col min="8204" max="8204" width="8.7109375" style="30" bestFit="1" customWidth="1"/>
    <col min="8205" max="8206" width="11.42578125" style="30" customWidth="1"/>
    <col min="8207" max="8207" width="14.140625" style="30" customWidth="1"/>
    <col min="8208" max="8208" width="13.42578125" style="30" customWidth="1"/>
    <col min="8209" max="8213" width="13" style="30" customWidth="1"/>
    <col min="8214" max="8214" width="11.42578125" style="30" customWidth="1"/>
    <col min="8215" max="8215" width="15.5703125" style="30" customWidth="1"/>
    <col min="8216" max="8438" width="9.140625" style="30"/>
    <col min="8439" max="8439" width="13.7109375" style="30" customWidth="1"/>
    <col min="8440" max="8440" width="14.5703125" style="30" customWidth="1"/>
    <col min="8441" max="8441" width="14.7109375" style="30" customWidth="1"/>
    <col min="8442" max="8442" width="14.5703125" style="30" customWidth="1"/>
    <col min="8443" max="8443" width="11" style="30" customWidth="1"/>
    <col min="8444" max="8445" width="10.42578125" style="30" customWidth="1"/>
    <col min="8446" max="8447" width="11" style="30" customWidth="1"/>
    <col min="8448" max="8448" width="14.7109375" style="30" customWidth="1"/>
    <col min="8449" max="8449" width="12.28515625" style="30" customWidth="1"/>
    <col min="8450" max="8450" width="10.42578125" style="30" customWidth="1"/>
    <col min="8451" max="8453" width="9.140625" style="30"/>
    <col min="8454" max="8454" width="12" style="30" customWidth="1"/>
    <col min="8455" max="8455" width="13.5703125" style="30" customWidth="1"/>
    <col min="8456" max="8456" width="16.85546875" style="30" bestFit="1" customWidth="1"/>
    <col min="8457" max="8459" width="7.42578125" style="30" customWidth="1"/>
    <col min="8460" max="8460" width="8.7109375" style="30" bestFit="1" customWidth="1"/>
    <col min="8461" max="8462" width="11.42578125" style="30" customWidth="1"/>
    <col min="8463" max="8463" width="14.140625" style="30" customWidth="1"/>
    <col min="8464" max="8464" width="13.42578125" style="30" customWidth="1"/>
    <col min="8465" max="8469" width="13" style="30" customWidth="1"/>
    <col min="8470" max="8470" width="11.42578125" style="30" customWidth="1"/>
    <col min="8471" max="8471" width="15.5703125" style="30" customWidth="1"/>
    <col min="8472" max="8694" width="9.140625" style="30"/>
    <col min="8695" max="8695" width="13.7109375" style="30" customWidth="1"/>
    <col min="8696" max="8696" width="14.5703125" style="30" customWidth="1"/>
    <col min="8697" max="8697" width="14.7109375" style="30" customWidth="1"/>
    <col min="8698" max="8698" width="14.5703125" style="30" customWidth="1"/>
    <col min="8699" max="8699" width="11" style="30" customWidth="1"/>
    <col min="8700" max="8701" width="10.42578125" style="30" customWidth="1"/>
    <col min="8702" max="8703" width="11" style="30" customWidth="1"/>
    <col min="8704" max="8704" width="14.7109375" style="30" customWidth="1"/>
    <col min="8705" max="8705" width="12.28515625" style="30" customWidth="1"/>
    <col min="8706" max="8706" width="10.42578125" style="30" customWidth="1"/>
    <col min="8707" max="8709" width="9.140625" style="30"/>
    <col min="8710" max="8710" width="12" style="30" customWidth="1"/>
    <col min="8711" max="8711" width="13.5703125" style="30" customWidth="1"/>
    <col min="8712" max="8712" width="16.85546875" style="30" bestFit="1" customWidth="1"/>
    <col min="8713" max="8715" width="7.42578125" style="30" customWidth="1"/>
    <col min="8716" max="8716" width="8.7109375" style="30" bestFit="1" customWidth="1"/>
    <col min="8717" max="8718" width="11.42578125" style="30" customWidth="1"/>
    <col min="8719" max="8719" width="14.140625" style="30" customWidth="1"/>
    <col min="8720" max="8720" width="13.42578125" style="30" customWidth="1"/>
    <col min="8721" max="8725" width="13" style="30" customWidth="1"/>
    <col min="8726" max="8726" width="11.42578125" style="30" customWidth="1"/>
    <col min="8727" max="8727" width="15.5703125" style="30" customWidth="1"/>
    <col min="8728" max="8950" width="9.140625" style="30"/>
    <col min="8951" max="8951" width="13.7109375" style="30" customWidth="1"/>
    <col min="8952" max="8952" width="14.5703125" style="30" customWidth="1"/>
    <col min="8953" max="8953" width="14.7109375" style="30" customWidth="1"/>
    <col min="8954" max="8954" width="14.5703125" style="30" customWidth="1"/>
    <col min="8955" max="8955" width="11" style="30" customWidth="1"/>
    <col min="8956" max="8957" width="10.42578125" style="30" customWidth="1"/>
    <col min="8958" max="8959" width="11" style="30" customWidth="1"/>
    <col min="8960" max="8960" width="14.7109375" style="30" customWidth="1"/>
    <col min="8961" max="8961" width="12.28515625" style="30" customWidth="1"/>
    <col min="8962" max="8962" width="10.42578125" style="30" customWidth="1"/>
    <col min="8963" max="8965" width="9.140625" style="30"/>
    <col min="8966" max="8966" width="12" style="30" customWidth="1"/>
    <col min="8967" max="8967" width="13.5703125" style="30" customWidth="1"/>
    <col min="8968" max="8968" width="16.85546875" style="30" bestFit="1" customWidth="1"/>
    <col min="8969" max="8971" width="7.42578125" style="30" customWidth="1"/>
    <col min="8972" max="8972" width="8.7109375" style="30" bestFit="1" customWidth="1"/>
    <col min="8973" max="8974" width="11.42578125" style="30" customWidth="1"/>
    <col min="8975" max="8975" width="14.140625" style="30" customWidth="1"/>
    <col min="8976" max="8976" width="13.42578125" style="30" customWidth="1"/>
    <col min="8977" max="8981" width="13" style="30" customWidth="1"/>
    <col min="8982" max="8982" width="11.42578125" style="30" customWidth="1"/>
    <col min="8983" max="8983" width="15.5703125" style="30" customWidth="1"/>
    <col min="8984" max="9206" width="9.140625" style="30"/>
    <col min="9207" max="9207" width="13.7109375" style="30" customWidth="1"/>
    <col min="9208" max="9208" width="14.5703125" style="30" customWidth="1"/>
    <col min="9209" max="9209" width="14.7109375" style="30" customWidth="1"/>
    <col min="9210" max="9210" width="14.5703125" style="30" customWidth="1"/>
    <col min="9211" max="9211" width="11" style="30" customWidth="1"/>
    <col min="9212" max="9213" width="10.42578125" style="30" customWidth="1"/>
    <col min="9214" max="9215" width="11" style="30" customWidth="1"/>
    <col min="9216" max="9216" width="14.7109375" style="30" customWidth="1"/>
    <col min="9217" max="9217" width="12.28515625" style="30" customWidth="1"/>
    <col min="9218" max="9218" width="10.42578125" style="30" customWidth="1"/>
    <col min="9219" max="9221" width="9.140625" style="30"/>
    <col min="9222" max="9222" width="12" style="30" customWidth="1"/>
    <col min="9223" max="9223" width="13.5703125" style="30" customWidth="1"/>
    <col min="9224" max="9224" width="16.85546875" style="30" bestFit="1" customWidth="1"/>
    <col min="9225" max="9227" width="7.42578125" style="30" customWidth="1"/>
    <col min="9228" max="9228" width="8.7109375" style="30" bestFit="1" customWidth="1"/>
    <col min="9229" max="9230" width="11.42578125" style="30" customWidth="1"/>
    <col min="9231" max="9231" width="14.140625" style="30" customWidth="1"/>
    <col min="9232" max="9232" width="13.42578125" style="30" customWidth="1"/>
    <col min="9233" max="9237" width="13" style="30" customWidth="1"/>
    <col min="9238" max="9238" width="11.42578125" style="30" customWidth="1"/>
    <col min="9239" max="9239" width="15.5703125" style="30" customWidth="1"/>
    <col min="9240" max="9462" width="9.140625" style="30"/>
    <col min="9463" max="9463" width="13.7109375" style="30" customWidth="1"/>
    <col min="9464" max="9464" width="14.5703125" style="30" customWidth="1"/>
    <col min="9465" max="9465" width="14.7109375" style="30" customWidth="1"/>
    <col min="9466" max="9466" width="14.5703125" style="30" customWidth="1"/>
    <col min="9467" max="9467" width="11" style="30" customWidth="1"/>
    <col min="9468" max="9469" width="10.42578125" style="30" customWidth="1"/>
    <col min="9470" max="9471" width="11" style="30" customWidth="1"/>
    <col min="9472" max="9472" width="14.7109375" style="30" customWidth="1"/>
    <col min="9473" max="9473" width="12.28515625" style="30" customWidth="1"/>
    <col min="9474" max="9474" width="10.42578125" style="30" customWidth="1"/>
    <col min="9475" max="9477" width="9.140625" style="30"/>
    <col min="9478" max="9478" width="12" style="30" customWidth="1"/>
    <col min="9479" max="9479" width="13.5703125" style="30" customWidth="1"/>
    <col min="9480" max="9480" width="16.85546875" style="30" bestFit="1" customWidth="1"/>
    <col min="9481" max="9483" width="7.42578125" style="30" customWidth="1"/>
    <col min="9484" max="9484" width="8.7109375" style="30" bestFit="1" customWidth="1"/>
    <col min="9485" max="9486" width="11.42578125" style="30" customWidth="1"/>
    <col min="9487" max="9487" width="14.140625" style="30" customWidth="1"/>
    <col min="9488" max="9488" width="13.42578125" style="30" customWidth="1"/>
    <col min="9489" max="9493" width="13" style="30" customWidth="1"/>
    <col min="9494" max="9494" width="11.42578125" style="30" customWidth="1"/>
    <col min="9495" max="9495" width="15.5703125" style="30" customWidth="1"/>
    <col min="9496" max="9718" width="9.140625" style="30"/>
    <col min="9719" max="9719" width="13.7109375" style="30" customWidth="1"/>
    <col min="9720" max="9720" width="14.5703125" style="30" customWidth="1"/>
    <col min="9721" max="9721" width="14.7109375" style="30" customWidth="1"/>
    <col min="9722" max="9722" width="14.5703125" style="30" customWidth="1"/>
    <col min="9723" max="9723" width="11" style="30" customWidth="1"/>
    <col min="9724" max="9725" width="10.42578125" style="30" customWidth="1"/>
    <col min="9726" max="9727" width="11" style="30" customWidth="1"/>
    <col min="9728" max="9728" width="14.7109375" style="30" customWidth="1"/>
    <col min="9729" max="9729" width="12.28515625" style="30" customWidth="1"/>
    <col min="9730" max="9730" width="10.42578125" style="30" customWidth="1"/>
    <col min="9731" max="9733" width="9.140625" style="30"/>
    <col min="9734" max="9734" width="12" style="30" customWidth="1"/>
    <col min="9735" max="9735" width="13.5703125" style="30" customWidth="1"/>
    <col min="9736" max="9736" width="16.85546875" style="30" bestFit="1" customWidth="1"/>
    <col min="9737" max="9739" width="7.42578125" style="30" customWidth="1"/>
    <col min="9740" max="9740" width="8.7109375" style="30" bestFit="1" customWidth="1"/>
    <col min="9741" max="9742" width="11.42578125" style="30" customWidth="1"/>
    <col min="9743" max="9743" width="14.140625" style="30" customWidth="1"/>
    <col min="9744" max="9744" width="13.42578125" style="30" customWidth="1"/>
    <col min="9745" max="9749" width="13" style="30" customWidth="1"/>
    <col min="9750" max="9750" width="11.42578125" style="30" customWidth="1"/>
    <col min="9751" max="9751" width="15.5703125" style="30" customWidth="1"/>
    <col min="9752" max="9974" width="9.140625" style="30"/>
    <col min="9975" max="9975" width="13.7109375" style="30" customWidth="1"/>
    <col min="9976" max="9976" width="14.5703125" style="30" customWidth="1"/>
    <col min="9977" max="9977" width="14.7109375" style="30" customWidth="1"/>
    <col min="9978" max="9978" width="14.5703125" style="30" customWidth="1"/>
    <col min="9979" max="9979" width="11" style="30" customWidth="1"/>
    <col min="9980" max="9981" width="10.42578125" style="30" customWidth="1"/>
    <col min="9982" max="9983" width="11" style="30" customWidth="1"/>
    <col min="9984" max="9984" width="14.7109375" style="30" customWidth="1"/>
    <col min="9985" max="9985" width="12.28515625" style="30" customWidth="1"/>
    <col min="9986" max="9986" width="10.42578125" style="30" customWidth="1"/>
    <col min="9987" max="9989" width="9.140625" style="30"/>
    <col min="9990" max="9990" width="12" style="30" customWidth="1"/>
    <col min="9991" max="9991" width="13.5703125" style="30" customWidth="1"/>
    <col min="9992" max="9992" width="16.85546875" style="30" bestFit="1" customWidth="1"/>
    <col min="9993" max="9995" width="7.42578125" style="30" customWidth="1"/>
    <col min="9996" max="9996" width="8.7109375" style="30" bestFit="1" customWidth="1"/>
    <col min="9997" max="9998" width="11.42578125" style="30" customWidth="1"/>
    <col min="9999" max="9999" width="14.140625" style="30" customWidth="1"/>
    <col min="10000" max="10000" width="13.42578125" style="30" customWidth="1"/>
    <col min="10001" max="10005" width="13" style="30" customWidth="1"/>
    <col min="10006" max="10006" width="11.42578125" style="30" customWidth="1"/>
    <col min="10007" max="10007" width="15.5703125" style="30" customWidth="1"/>
    <col min="10008" max="10230" width="9.140625" style="30"/>
    <col min="10231" max="10231" width="13.7109375" style="30" customWidth="1"/>
    <col min="10232" max="10232" width="14.5703125" style="30" customWidth="1"/>
    <col min="10233" max="10233" width="14.7109375" style="30" customWidth="1"/>
    <col min="10234" max="10234" width="14.5703125" style="30" customWidth="1"/>
    <col min="10235" max="10235" width="11" style="30" customWidth="1"/>
    <col min="10236" max="10237" width="10.42578125" style="30" customWidth="1"/>
    <col min="10238" max="10239" width="11" style="30" customWidth="1"/>
    <col min="10240" max="10240" width="14.7109375" style="30" customWidth="1"/>
    <col min="10241" max="10241" width="12.28515625" style="30" customWidth="1"/>
    <col min="10242" max="10242" width="10.42578125" style="30" customWidth="1"/>
    <col min="10243" max="10245" width="9.140625" style="30"/>
    <col min="10246" max="10246" width="12" style="30" customWidth="1"/>
    <col min="10247" max="10247" width="13.5703125" style="30" customWidth="1"/>
    <col min="10248" max="10248" width="16.85546875" style="30" bestFit="1" customWidth="1"/>
    <col min="10249" max="10251" width="7.42578125" style="30" customWidth="1"/>
    <col min="10252" max="10252" width="8.7109375" style="30" bestFit="1" customWidth="1"/>
    <col min="10253" max="10254" width="11.42578125" style="30" customWidth="1"/>
    <col min="10255" max="10255" width="14.140625" style="30" customWidth="1"/>
    <col min="10256" max="10256" width="13.42578125" style="30" customWidth="1"/>
    <col min="10257" max="10261" width="13" style="30" customWidth="1"/>
    <col min="10262" max="10262" width="11.42578125" style="30" customWidth="1"/>
    <col min="10263" max="10263" width="15.5703125" style="30" customWidth="1"/>
    <col min="10264" max="10486" width="9.140625" style="30"/>
    <col min="10487" max="10487" width="13.7109375" style="30" customWidth="1"/>
    <col min="10488" max="10488" width="14.5703125" style="30" customWidth="1"/>
    <col min="10489" max="10489" width="14.7109375" style="30" customWidth="1"/>
    <col min="10490" max="10490" width="14.5703125" style="30" customWidth="1"/>
    <col min="10491" max="10491" width="11" style="30" customWidth="1"/>
    <col min="10492" max="10493" width="10.42578125" style="30" customWidth="1"/>
    <col min="10494" max="10495" width="11" style="30" customWidth="1"/>
    <col min="10496" max="10496" width="14.7109375" style="30" customWidth="1"/>
    <col min="10497" max="10497" width="12.28515625" style="30" customWidth="1"/>
    <col min="10498" max="10498" width="10.42578125" style="30" customWidth="1"/>
    <col min="10499" max="10501" width="9.140625" style="30"/>
    <col min="10502" max="10502" width="12" style="30" customWidth="1"/>
    <col min="10503" max="10503" width="13.5703125" style="30" customWidth="1"/>
    <col min="10504" max="10504" width="16.85546875" style="30" bestFit="1" customWidth="1"/>
    <col min="10505" max="10507" width="7.42578125" style="30" customWidth="1"/>
    <col min="10508" max="10508" width="8.7109375" style="30" bestFit="1" customWidth="1"/>
    <col min="10509" max="10510" width="11.42578125" style="30" customWidth="1"/>
    <col min="10511" max="10511" width="14.140625" style="30" customWidth="1"/>
    <col min="10512" max="10512" width="13.42578125" style="30" customWidth="1"/>
    <col min="10513" max="10517" width="13" style="30" customWidth="1"/>
    <col min="10518" max="10518" width="11.42578125" style="30" customWidth="1"/>
    <col min="10519" max="10519" width="15.5703125" style="30" customWidth="1"/>
    <col min="10520" max="10742" width="9.140625" style="30"/>
    <col min="10743" max="10743" width="13.7109375" style="30" customWidth="1"/>
    <col min="10744" max="10744" width="14.5703125" style="30" customWidth="1"/>
    <col min="10745" max="10745" width="14.7109375" style="30" customWidth="1"/>
    <col min="10746" max="10746" width="14.5703125" style="30" customWidth="1"/>
    <col min="10747" max="10747" width="11" style="30" customWidth="1"/>
    <col min="10748" max="10749" width="10.42578125" style="30" customWidth="1"/>
    <col min="10750" max="10751" width="11" style="30" customWidth="1"/>
    <col min="10752" max="10752" width="14.7109375" style="30" customWidth="1"/>
    <col min="10753" max="10753" width="12.28515625" style="30" customWidth="1"/>
    <col min="10754" max="10754" width="10.42578125" style="30" customWidth="1"/>
    <col min="10755" max="10757" width="9.140625" style="30"/>
    <col min="10758" max="10758" width="12" style="30" customWidth="1"/>
    <col min="10759" max="10759" width="13.5703125" style="30" customWidth="1"/>
    <col min="10760" max="10760" width="16.85546875" style="30" bestFit="1" customWidth="1"/>
    <col min="10761" max="10763" width="7.42578125" style="30" customWidth="1"/>
    <col min="10764" max="10764" width="8.7109375" style="30" bestFit="1" customWidth="1"/>
    <col min="10765" max="10766" width="11.42578125" style="30" customWidth="1"/>
    <col min="10767" max="10767" width="14.140625" style="30" customWidth="1"/>
    <col min="10768" max="10768" width="13.42578125" style="30" customWidth="1"/>
    <col min="10769" max="10773" width="13" style="30" customWidth="1"/>
    <col min="10774" max="10774" width="11.42578125" style="30" customWidth="1"/>
    <col min="10775" max="10775" width="15.5703125" style="30" customWidth="1"/>
    <col min="10776" max="10998" width="9.140625" style="30"/>
    <col min="10999" max="10999" width="13.7109375" style="30" customWidth="1"/>
    <col min="11000" max="11000" width="14.5703125" style="30" customWidth="1"/>
    <col min="11001" max="11001" width="14.7109375" style="30" customWidth="1"/>
    <col min="11002" max="11002" width="14.5703125" style="30" customWidth="1"/>
    <col min="11003" max="11003" width="11" style="30" customWidth="1"/>
    <col min="11004" max="11005" width="10.42578125" style="30" customWidth="1"/>
    <col min="11006" max="11007" width="11" style="30" customWidth="1"/>
    <col min="11008" max="11008" width="14.7109375" style="30" customWidth="1"/>
    <col min="11009" max="11009" width="12.28515625" style="30" customWidth="1"/>
    <col min="11010" max="11010" width="10.42578125" style="30" customWidth="1"/>
    <col min="11011" max="11013" width="9.140625" style="30"/>
    <col min="11014" max="11014" width="12" style="30" customWidth="1"/>
    <col min="11015" max="11015" width="13.5703125" style="30" customWidth="1"/>
    <col min="11016" max="11016" width="16.85546875" style="30" bestFit="1" customWidth="1"/>
    <col min="11017" max="11019" width="7.42578125" style="30" customWidth="1"/>
    <col min="11020" max="11020" width="8.7109375" style="30" bestFit="1" customWidth="1"/>
    <col min="11021" max="11022" width="11.42578125" style="30" customWidth="1"/>
    <col min="11023" max="11023" width="14.140625" style="30" customWidth="1"/>
    <col min="11024" max="11024" width="13.42578125" style="30" customWidth="1"/>
    <col min="11025" max="11029" width="13" style="30" customWidth="1"/>
    <col min="11030" max="11030" width="11.42578125" style="30" customWidth="1"/>
    <col min="11031" max="11031" width="15.5703125" style="30" customWidth="1"/>
    <col min="11032" max="11254" width="9.140625" style="30"/>
    <col min="11255" max="11255" width="13.7109375" style="30" customWidth="1"/>
    <col min="11256" max="11256" width="14.5703125" style="30" customWidth="1"/>
    <col min="11257" max="11257" width="14.7109375" style="30" customWidth="1"/>
    <col min="11258" max="11258" width="14.5703125" style="30" customWidth="1"/>
    <col min="11259" max="11259" width="11" style="30" customWidth="1"/>
    <col min="11260" max="11261" width="10.42578125" style="30" customWidth="1"/>
    <col min="11262" max="11263" width="11" style="30" customWidth="1"/>
    <col min="11264" max="11264" width="14.7109375" style="30" customWidth="1"/>
    <col min="11265" max="11265" width="12.28515625" style="30" customWidth="1"/>
    <col min="11266" max="11266" width="10.42578125" style="30" customWidth="1"/>
    <col min="11267" max="11269" width="9.140625" style="30"/>
    <col min="11270" max="11270" width="12" style="30" customWidth="1"/>
    <col min="11271" max="11271" width="13.5703125" style="30" customWidth="1"/>
    <col min="11272" max="11272" width="16.85546875" style="30" bestFit="1" customWidth="1"/>
    <col min="11273" max="11275" width="7.42578125" style="30" customWidth="1"/>
    <col min="11276" max="11276" width="8.7109375" style="30" bestFit="1" customWidth="1"/>
    <col min="11277" max="11278" width="11.42578125" style="30" customWidth="1"/>
    <col min="11279" max="11279" width="14.140625" style="30" customWidth="1"/>
    <col min="11280" max="11280" width="13.42578125" style="30" customWidth="1"/>
    <col min="11281" max="11285" width="13" style="30" customWidth="1"/>
    <col min="11286" max="11286" width="11.42578125" style="30" customWidth="1"/>
    <col min="11287" max="11287" width="15.5703125" style="30" customWidth="1"/>
    <col min="11288" max="11510" width="9.140625" style="30"/>
    <col min="11511" max="11511" width="13.7109375" style="30" customWidth="1"/>
    <col min="11512" max="11512" width="14.5703125" style="30" customWidth="1"/>
    <col min="11513" max="11513" width="14.7109375" style="30" customWidth="1"/>
    <col min="11514" max="11514" width="14.5703125" style="30" customWidth="1"/>
    <col min="11515" max="11515" width="11" style="30" customWidth="1"/>
    <col min="11516" max="11517" width="10.42578125" style="30" customWidth="1"/>
    <col min="11518" max="11519" width="11" style="30" customWidth="1"/>
    <col min="11520" max="11520" width="14.7109375" style="30" customWidth="1"/>
    <col min="11521" max="11521" width="12.28515625" style="30" customWidth="1"/>
    <col min="11522" max="11522" width="10.42578125" style="30" customWidth="1"/>
    <col min="11523" max="11525" width="9.140625" style="30"/>
    <col min="11526" max="11526" width="12" style="30" customWidth="1"/>
    <col min="11527" max="11527" width="13.5703125" style="30" customWidth="1"/>
    <col min="11528" max="11528" width="16.85546875" style="30" bestFit="1" customWidth="1"/>
    <col min="11529" max="11531" width="7.42578125" style="30" customWidth="1"/>
    <col min="11532" max="11532" width="8.7109375" style="30" bestFit="1" customWidth="1"/>
    <col min="11533" max="11534" width="11.42578125" style="30" customWidth="1"/>
    <col min="11535" max="11535" width="14.140625" style="30" customWidth="1"/>
    <col min="11536" max="11536" width="13.42578125" style="30" customWidth="1"/>
    <col min="11537" max="11541" width="13" style="30" customWidth="1"/>
    <col min="11542" max="11542" width="11.42578125" style="30" customWidth="1"/>
    <col min="11543" max="11543" width="15.5703125" style="30" customWidth="1"/>
    <col min="11544" max="11766" width="9.140625" style="30"/>
    <col min="11767" max="11767" width="13.7109375" style="30" customWidth="1"/>
    <col min="11768" max="11768" width="14.5703125" style="30" customWidth="1"/>
    <col min="11769" max="11769" width="14.7109375" style="30" customWidth="1"/>
    <col min="11770" max="11770" width="14.5703125" style="30" customWidth="1"/>
    <col min="11771" max="11771" width="11" style="30" customWidth="1"/>
    <col min="11772" max="11773" width="10.42578125" style="30" customWidth="1"/>
    <col min="11774" max="11775" width="11" style="30" customWidth="1"/>
    <col min="11776" max="11776" width="14.7109375" style="30" customWidth="1"/>
    <col min="11777" max="11777" width="12.28515625" style="30" customWidth="1"/>
    <col min="11778" max="11778" width="10.42578125" style="30" customWidth="1"/>
    <col min="11779" max="11781" width="9.140625" style="30"/>
    <col min="11782" max="11782" width="12" style="30" customWidth="1"/>
    <col min="11783" max="11783" width="13.5703125" style="30" customWidth="1"/>
    <col min="11784" max="11784" width="16.85546875" style="30" bestFit="1" customWidth="1"/>
    <col min="11785" max="11787" width="7.42578125" style="30" customWidth="1"/>
    <col min="11788" max="11788" width="8.7109375" style="30" bestFit="1" customWidth="1"/>
    <col min="11789" max="11790" width="11.42578125" style="30" customWidth="1"/>
    <col min="11791" max="11791" width="14.140625" style="30" customWidth="1"/>
    <col min="11792" max="11792" width="13.42578125" style="30" customWidth="1"/>
    <col min="11793" max="11797" width="13" style="30" customWidth="1"/>
    <col min="11798" max="11798" width="11.42578125" style="30" customWidth="1"/>
    <col min="11799" max="11799" width="15.5703125" style="30" customWidth="1"/>
    <col min="11800" max="12022" width="9.140625" style="30"/>
    <col min="12023" max="12023" width="13.7109375" style="30" customWidth="1"/>
    <col min="12024" max="12024" width="14.5703125" style="30" customWidth="1"/>
    <col min="12025" max="12025" width="14.7109375" style="30" customWidth="1"/>
    <col min="12026" max="12026" width="14.5703125" style="30" customWidth="1"/>
    <col min="12027" max="12027" width="11" style="30" customWidth="1"/>
    <col min="12028" max="12029" width="10.42578125" style="30" customWidth="1"/>
    <col min="12030" max="12031" width="11" style="30" customWidth="1"/>
    <col min="12032" max="12032" width="14.7109375" style="30" customWidth="1"/>
    <col min="12033" max="12033" width="12.28515625" style="30" customWidth="1"/>
    <col min="12034" max="12034" width="10.42578125" style="30" customWidth="1"/>
    <col min="12035" max="12037" width="9.140625" style="30"/>
    <col min="12038" max="12038" width="12" style="30" customWidth="1"/>
    <col min="12039" max="12039" width="13.5703125" style="30" customWidth="1"/>
    <col min="12040" max="12040" width="16.85546875" style="30" bestFit="1" customWidth="1"/>
    <col min="12041" max="12043" width="7.42578125" style="30" customWidth="1"/>
    <col min="12044" max="12044" width="8.7109375" style="30" bestFit="1" customWidth="1"/>
    <col min="12045" max="12046" width="11.42578125" style="30" customWidth="1"/>
    <col min="12047" max="12047" width="14.140625" style="30" customWidth="1"/>
    <col min="12048" max="12048" width="13.42578125" style="30" customWidth="1"/>
    <col min="12049" max="12053" width="13" style="30" customWidth="1"/>
    <col min="12054" max="12054" width="11.42578125" style="30" customWidth="1"/>
    <col min="12055" max="12055" width="15.5703125" style="30" customWidth="1"/>
    <col min="12056" max="12278" width="9.140625" style="30"/>
    <col min="12279" max="12279" width="13.7109375" style="30" customWidth="1"/>
    <col min="12280" max="12280" width="14.5703125" style="30" customWidth="1"/>
    <col min="12281" max="12281" width="14.7109375" style="30" customWidth="1"/>
    <col min="12282" max="12282" width="14.5703125" style="30" customWidth="1"/>
    <col min="12283" max="12283" width="11" style="30" customWidth="1"/>
    <col min="12284" max="12285" width="10.42578125" style="30" customWidth="1"/>
    <col min="12286" max="12287" width="11" style="30" customWidth="1"/>
    <col min="12288" max="12288" width="14.7109375" style="30" customWidth="1"/>
    <col min="12289" max="12289" width="12.28515625" style="30" customWidth="1"/>
    <col min="12290" max="12290" width="10.42578125" style="30" customWidth="1"/>
    <col min="12291" max="12293" width="9.140625" style="30"/>
    <col min="12294" max="12294" width="12" style="30" customWidth="1"/>
    <col min="12295" max="12295" width="13.5703125" style="30" customWidth="1"/>
    <col min="12296" max="12296" width="16.85546875" style="30" bestFit="1" customWidth="1"/>
    <col min="12297" max="12299" width="7.42578125" style="30" customWidth="1"/>
    <col min="12300" max="12300" width="8.7109375" style="30" bestFit="1" customWidth="1"/>
    <col min="12301" max="12302" width="11.42578125" style="30" customWidth="1"/>
    <col min="12303" max="12303" width="14.140625" style="30" customWidth="1"/>
    <col min="12304" max="12304" width="13.42578125" style="30" customWidth="1"/>
    <col min="12305" max="12309" width="13" style="30" customWidth="1"/>
    <col min="12310" max="12310" width="11.42578125" style="30" customWidth="1"/>
    <col min="12311" max="12311" width="15.5703125" style="30" customWidth="1"/>
    <col min="12312" max="12534" width="9.140625" style="30"/>
    <col min="12535" max="12535" width="13.7109375" style="30" customWidth="1"/>
    <col min="12536" max="12536" width="14.5703125" style="30" customWidth="1"/>
    <col min="12537" max="12537" width="14.7109375" style="30" customWidth="1"/>
    <col min="12538" max="12538" width="14.5703125" style="30" customWidth="1"/>
    <col min="12539" max="12539" width="11" style="30" customWidth="1"/>
    <col min="12540" max="12541" width="10.42578125" style="30" customWidth="1"/>
    <col min="12542" max="12543" width="11" style="30" customWidth="1"/>
    <col min="12544" max="12544" width="14.7109375" style="30" customWidth="1"/>
    <col min="12545" max="12545" width="12.28515625" style="30" customWidth="1"/>
    <col min="12546" max="12546" width="10.42578125" style="30" customWidth="1"/>
    <col min="12547" max="12549" width="9.140625" style="30"/>
    <col min="12550" max="12550" width="12" style="30" customWidth="1"/>
    <col min="12551" max="12551" width="13.5703125" style="30" customWidth="1"/>
    <col min="12552" max="12552" width="16.85546875" style="30" bestFit="1" customWidth="1"/>
    <col min="12553" max="12555" width="7.42578125" style="30" customWidth="1"/>
    <col min="12556" max="12556" width="8.7109375" style="30" bestFit="1" customWidth="1"/>
    <col min="12557" max="12558" width="11.42578125" style="30" customWidth="1"/>
    <col min="12559" max="12559" width="14.140625" style="30" customWidth="1"/>
    <col min="12560" max="12560" width="13.42578125" style="30" customWidth="1"/>
    <col min="12561" max="12565" width="13" style="30" customWidth="1"/>
    <col min="12566" max="12566" width="11.42578125" style="30" customWidth="1"/>
    <col min="12567" max="12567" width="15.5703125" style="30" customWidth="1"/>
    <col min="12568" max="12790" width="9.140625" style="30"/>
    <col min="12791" max="12791" width="13.7109375" style="30" customWidth="1"/>
    <col min="12792" max="12792" width="14.5703125" style="30" customWidth="1"/>
    <col min="12793" max="12793" width="14.7109375" style="30" customWidth="1"/>
    <col min="12794" max="12794" width="14.5703125" style="30" customWidth="1"/>
    <col min="12795" max="12795" width="11" style="30" customWidth="1"/>
    <col min="12796" max="12797" width="10.42578125" style="30" customWidth="1"/>
    <col min="12798" max="12799" width="11" style="30" customWidth="1"/>
    <col min="12800" max="12800" width="14.7109375" style="30" customWidth="1"/>
    <col min="12801" max="12801" width="12.28515625" style="30" customWidth="1"/>
    <col min="12802" max="12802" width="10.42578125" style="30" customWidth="1"/>
    <col min="12803" max="12805" width="9.140625" style="30"/>
    <col min="12806" max="12806" width="12" style="30" customWidth="1"/>
    <col min="12807" max="12807" width="13.5703125" style="30" customWidth="1"/>
    <col min="12808" max="12808" width="16.85546875" style="30" bestFit="1" customWidth="1"/>
    <col min="12809" max="12811" width="7.42578125" style="30" customWidth="1"/>
    <col min="12812" max="12812" width="8.7109375" style="30" bestFit="1" customWidth="1"/>
    <col min="12813" max="12814" width="11.42578125" style="30" customWidth="1"/>
    <col min="12815" max="12815" width="14.140625" style="30" customWidth="1"/>
    <col min="12816" max="12816" width="13.42578125" style="30" customWidth="1"/>
    <col min="12817" max="12821" width="13" style="30" customWidth="1"/>
    <col min="12822" max="12822" width="11.42578125" style="30" customWidth="1"/>
    <col min="12823" max="12823" width="15.5703125" style="30" customWidth="1"/>
    <col min="12824" max="13046" width="9.140625" style="30"/>
    <col min="13047" max="13047" width="13.7109375" style="30" customWidth="1"/>
    <col min="13048" max="13048" width="14.5703125" style="30" customWidth="1"/>
    <col min="13049" max="13049" width="14.7109375" style="30" customWidth="1"/>
    <col min="13050" max="13050" width="14.5703125" style="30" customWidth="1"/>
    <col min="13051" max="13051" width="11" style="30" customWidth="1"/>
    <col min="13052" max="13053" width="10.42578125" style="30" customWidth="1"/>
    <col min="13054" max="13055" width="11" style="30" customWidth="1"/>
    <col min="13056" max="13056" width="14.7109375" style="30" customWidth="1"/>
    <col min="13057" max="13057" width="12.28515625" style="30" customWidth="1"/>
    <col min="13058" max="13058" width="10.42578125" style="30" customWidth="1"/>
    <col min="13059" max="13061" width="9.140625" style="30"/>
    <col min="13062" max="13062" width="12" style="30" customWidth="1"/>
    <col min="13063" max="13063" width="13.5703125" style="30" customWidth="1"/>
    <col min="13064" max="13064" width="16.85546875" style="30" bestFit="1" customWidth="1"/>
    <col min="13065" max="13067" width="7.42578125" style="30" customWidth="1"/>
    <col min="13068" max="13068" width="8.7109375" style="30" bestFit="1" customWidth="1"/>
    <col min="13069" max="13070" width="11.42578125" style="30" customWidth="1"/>
    <col min="13071" max="13071" width="14.140625" style="30" customWidth="1"/>
    <col min="13072" max="13072" width="13.42578125" style="30" customWidth="1"/>
    <col min="13073" max="13077" width="13" style="30" customWidth="1"/>
    <col min="13078" max="13078" width="11.42578125" style="30" customWidth="1"/>
    <col min="13079" max="13079" width="15.5703125" style="30" customWidth="1"/>
    <col min="13080" max="13302" width="9.140625" style="30"/>
    <col min="13303" max="13303" width="13.7109375" style="30" customWidth="1"/>
    <col min="13304" max="13304" width="14.5703125" style="30" customWidth="1"/>
    <col min="13305" max="13305" width="14.7109375" style="30" customWidth="1"/>
    <col min="13306" max="13306" width="14.5703125" style="30" customWidth="1"/>
    <col min="13307" max="13307" width="11" style="30" customWidth="1"/>
    <col min="13308" max="13309" width="10.42578125" style="30" customWidth="1"/>
    <col min="13310" max="13311" width="11" style="30" customWidth="1"/>
    <col min="13312" max="13312" width="14.7109375" style="30" customWidth="1"/>
    <col min="13313" max="13313" width="12.28515625" style="30" customWidth="1"/>
    <col min="13314" max="13314" width="10.42578125" style="30" customWidth="1"/>
    <col min="13315" max="13317" width="9.140625" style="30"/>
    <col min="13318" max="13318" width="12" style="30" customWidth="1"/>
    <col min="13319" max="13319" width="13.5703125" style="30" customWidth="1"/>
    <col min="13320" max="13320" width="16.85546875" style="30" bestFit="1" customWidth="1"/>
    <col min="13321" max="13323" width="7.42578125" style="30" customWidth="1"/>
    <col min="13324" max="13324" width="8.7109375" style="30" bestFit="1" customWidth="1"/>
    <col min="13325" max="13326" width="11.42578125" style="30" customWidth="1"/>
    <col min="13327" max="13327" width="14.140625" style="30" customWidth="1"/>
    <col min="13328" max="13328" width="13.42578125" style="30" customWidth="1"/>
    <col min="13329" max="13333" width="13" style="30" customWidth="1"/>
    <col min="13334" max="13334" width="11.42578125" style="30" customWidth="1"/>
    <col min="13335" max="13335" width="15.5703125" style="30" customWidth="1"/>
    <col min="13336" max="13558" width="9.140625" style="30"/>
    <col min="13559" max="13559" width="13.7109375" style="30" customWidth="1"/>
    <col min="13560" max="13560" width="14.5703125" style="30" customWidth="1"/>
    <col min="13561" max="13561" width="14.7109375" style="30" customWidth="1"/>
    <col min="13562" max="13562" width="14.5703125" style="30" customWidth="1"/>
    <col min="13563" max="13563" width="11" style="30" customWidth="1"/>
    <col min="13564" max="13565" width="10.42578125" style="30" customWidth="1"/>
    <col min="13566" max="13567" width="11" style="30" customWidth="1"/>
    <col min="13568" max="13568" width="14.7109375" style="30" customWidth="1"/>
    <col min="13569" max="13569" width="12.28515625" style="30" customWidth="1"/>
    <col min="13570" max="13570" width="10.42578125" style="30" customWidth="1"/>
    <col min="13571" max="13573" width="9.140625" style="30"/>
    <col min="13574" max="13574" width="12" style="30" customWidth="1"/>
    <col min="13575" max="13575" width="13.5703125" style="30" customWidth="1"/>
    <col min="13576" max="13576" width="16.85546875" style="30" bestFit="1" customWidth="1"/>
    <col min="13577" max="13579" width="7.42578125" style="30" customWidth="1"/>
    <col min="13580" max="13580" width="8.7109375" style="30" bestFit="1" customWidth="1"/>
    <col min="13581" max="13582" width="11.42578125" style="30" customWidth="1"/>
    <col min="13583" max="13583" width="14.140625" style="30" customWidth="1"/>
    <col min="13584" max="13584" width="13.42578125" style="30" customWidth="1"/>
    <col min="13585" max="13589" width="13" style="30" customWidth="1"/>
    <col min="13590" max="13590" width="11.42578125" style="30" customWidth="1"/>
    <col min="13591" max="13591" width="15.5703125" style="30" customWidth="1"/>
    <col min="13592" max="13814" width="9.140625" style="30"/>
    <col min="13815" max="13815" width="13.7109375" style="30" customWidth="1"/>
    <col min="13816" max="13816" width="14.5703125" style="30" customWidth="1"/>
    <col min="13817" max="13817" width="14.7109375" style="30" customWidth="1"/>
    <col min="13818" max="13818" width="14.5703125" style="30" customWidth="1"/>
    <col min="13819" max="13819" width="11" style="30" customWidth="1"/>
    <col min="13820" max="13821" width="10.42578125" style="30" customWidth="1"/>
    <col min="13822" max="13823" width="11" style="30" customWidth="1"/>
    <col min="13824" max="13824" width="14.7109375" style="30" customWidth="1"/>
    <col min="13825" max="13825" width="12.28515625" style="30" customWidth="1"/>
    <col min="13826" max="13826" width="10.42578125" style="30" customWidth="1"/>
    <col min="13827" max="13829" width="9.140625" style="30"/>
    <col min="13830" max="13830" width="12" style="30" customWidth="1"/>
    <col min="13831" max="13831" width="13.5703125" style="30" customWidth="1"/>
    <col min="13832" max="13832" width="16.85546875" style="30" bestFit="1" customWidth="1"/>
    <col min="13833" max="13835" width="7.42578125" style="30" customWidth="1"/>
    <col min="13836" max="13836" width="8.7109375" style="30" bestFit="1" customWidth="1"/>
    <col min="13837" max="13838" width="11.42578125" style="30" customWidth="1"/>
    <col min="13839" max="13839" width="14.140625" style="30" customWidth="1"/>
    <col min="13840" max="13840" width="13.42578125" style="30" customWidth="1"/>
    <col min="13841" max="13845" width="13" style="30" customWidth="1"/>
    <col min="13846" max="13846" width="11.42578125" style="30" customWidth="1"/>
    <col min="13847" max="13847" width="15.5703125" style="30" customWidth="1"/>
    <col min="13848" max="14070" width="9.140625" style="30"/>
    <col min="14071" max="14071" width="13.7109375" style="30" customWidth="1"/>
    <col min="14072" max="14072" width="14.5703125" style="30" customWidth="1"/>
    <col min="14073" max="14073" width="14.7109375" style="30" customWidth="1"/>
    <col min="14074" max="14074" width="14.5703125" style="30" customWidth="1"/>
    <col min="14075" max="14075" width="11" style="30" customWidth="1"/>
    <col min="14076" max="14077" width="10.42578125" style="30" customWidth="1"/>
    <col min="14078" max="14079" width="11" style="30" customWidth="1"/>
    <col min="14080" max="14080" width="14.7109375" style="30" customWidth="1"/>
    <col min="14081" max="14081" width="12.28515625" style="30" customWidth="1"/>
    <col min="14082" max="14082" width="10.42578125" style="30" customWidth="1"/>
    <col min="14083" max="14085" width="9.140625" style="30"/>
    <col min="14086" max="14086" width="12" style="30" customWidth="1"/>
    <col min="14087" max="14087" width="13.5703125" style="30" customWidth="1"/>
    <col min="14088" max="14088" width="16.85546875" style="30" bestFit="1" customWidth="1"/>
    <col min="14089" max="14091" width="7.42578125" style="30" customWidth="1"/>
    <col min="14092" max="14092" width="8.7109375" style="30" bestFit="1" customWidth="1"/>
    <col min="14093" max="14094" width="11.42578125" style="30" customWidth="1"/>
    <col min="14095" max="14095" width="14.140625" style="30" customWidth="1"/>
    <col min="14096" max="14096" width="13.42578125" style="30" customWidth="1"/>
    <col min="14097" max="14101" width="13" style="30" customWidth="1"/>
    <col min="14102" max="14102" width="11.42578125" style="30" customWidth="1"/>
    <col min="14103" max="14103" width="15.5703125" style="30" customWidth="1"/>
    <col min="14104" max="14326" width="9.140625" style="30"/>
    <col min="14327" max="14327" width="13.7109375" style="30" customWidth="1"/>
    <col min="14328" max="14328" width="14.5703125" style="30" customWidth="1"/>
    <col min="14329" max="14329" width="14.7109375" style="30" customWidth="1"/>
    <col min="14330" max="14330" width="14.5703125" style="30" customWidth="1"/>
    <col min="14331" max="14331" width="11" style="30" customWidth="1"/>
    <col min="14332" max="14333" width="10.42578125" style="30" customWidth="1"/>
    <col min="14334" max="14335" width="11" style="30" customWidth="1"/>
    <col min="14336" max="14336" width="14.7109375" style="30" customWidth="1"/>
    <col min="14337" max="14337" width="12.28515625" style="30" customWidth="1"/>
    <col min="14338" max="14338" width="10.42578125" style="30" customWidth="1"/>
    <col min="14339" max="14341" width="9.140625" style="30"/>
    <col min="14342" max="14342" width="12" style="30" customWidth="1"/>
    <col min="14343" max="14343" width="13.5703125" style="30" customWidth="1"/>
    <col min="14344" max="14344" width="16.85546875" style="30" bestFit="1" customWidth="1"/>
    <col min="14345" max="14347" width="7.42578125" style="30" customWidth="1"/>
    <col min="14348" max="14348" width="8.7109375" style="30" bestFit="1" customWidth="1"/>
    <col min="14349" max="14350" width="11.42578125" style="30" customWidth="1"/>
    <col min="14351" max="14351" width="14.140625" style="30" customWidth="1"/>
    <col min="14352" max="14352" width="13.42578125" style="30" customWidth="1"/>
    <col min="14353" max="14357" width="13" style="30" customWidth="1"/>
    <col min="14358" max="14358" width="11.42578125" style="30" customWidth="1"/>
    <col min="14359" max="14359" width="15.5703125" style="30" customWidth="1"/>
    <col min="14360" max="14582" width="9.140625" style="30"/>
    <col min="14583" max="14583" width="13.7109375" style="30" customWidth="1"/>
    <col min="14584" max="14584" width="14.5703125" style="30" customWidth="1"/>
    <col min="14585" max="14585" width="14.7109375" style="30" customWidth="1"/>
    <col min="14586" max="14586" width="14.5703125" style="30" customWidth="1"/>
    <col min="14587" max="14587" width="11" style="30" customWidth="1"/>
    <col min="14588" max="14589" width="10.42578125" style="30" customWidth="1"/>
    <col min="14590" max="14591" width="11" style="30" customWidth="1"/>
    <col min="14592" max="14592" width="14.7109375" style="30" customWidth="1"/>
    <col min="14593" max="14593" width="12.28515625" style="30" customWidth="1"/>
    <col min="14594" max="14594" width="10.42578125" style="30" customWidth="1"/>
    <col min="14595" max="14597" width="9.140625" style="30"/>
    <col min="14598" max="14598" width="12" style="30" customWidth="1"/>
    <col min="14599" max="14599" width="13.5703125" style="30" customWidth="1"/>
    <col min="14600" max="14600" width="16.85546875" style="30" bestFit="1" customWidth="1"/>
    <col min="14601" max="14603" width="7.42578125" style="30" customWidth="1"/>
    <col min="14604" max="14604" width="8.7109375" style="30" bestFit="1" customWidth="1"/>
    <col min="14605" max="14606" width="11.42578125" style="30" customWidth="1"/>
    <col min="14607" max="14607" width="14.140625" style="30" customWidth="1"/>
    <col min="14608" max="14608" width="13.42578125" style="30" customWidth="1"/>
    <col min="14609" max="14613" width="13" style="30" customWidth="1"/>
    <col min="14614" max="14614" width="11.42578125" style="30" customWidth="1"/>
    <col min="14615" max="14615" width="15.5703125" style="30" customWidth="1"/>
    <col min="14616" max="14838" width="9.140625" style="30"/>
    <col min="14839" max="14839" width="13.7109375" style="30" customWidth="1"/>
    <col min="14840" max="14840" width="14.5703125" style="30" customWidth="1"/>
    <col min="14841" max="14841" width="14.7109375" style="30" customWidth="1"/>
    <col min="14842" max="14842" width="14.5703125" style="30" customWidth="1"/>
    <col min="14843" max="14843" width="11" style="30" customWidth="1"/>
    <col min="14844" max="14845" width="10.42578125" style="30" customWidth="1"/>
    <col min="14846" max="14847" width="11" style="30" customWidth="1"/>
    <col min="14848" max="14848" width="14.7109375" style="30" customWidth="1"/>
    <col min="14849" max="14849" width="12.28515625" style="30" customWidth="1"/>
    <col min="14850" max="14850" width="10.42578125" style="30" customWidth="1"/>
    <col min="14851" max="14853" width="9.140625" style="30"/>
    <col min="14854" max="14854" width="12" style="30" customWidth="1"/>
    <col min="14855" max="14855" width="13.5703125" style="30" customWidth="1"/>
    <col min="14856" max="14856" width="16.85546875" style="30" bestFit="1" customWidth="1"/>
    <col min="14857" max="14859" width="7.42578125" style="30" customWidth="1"/>
    <col min="14860" max="14860" width="8.7109375" style="30" bestFit="1" customWidth="1"/>
    <col min="14861" max="14862" width="11.42578125" style="30" customWidth="1"/>
    <col min="14863" max="14863" width="14.140625" style="30" customWidth="1"/>
    <col min="14864" max="14864" width="13.42578125" style="30" customWidth="1"/>
    <col min="14865" max="14869" width="13" style="30" customWidth="1"/>
    <col min="14870" max="14870" width="11.42578125" style="30" customWidth="1"/>
    <col min="14871" max="14871" width="15.5703125" style="30" customWidth="1"/>
    <col min="14872" max="15094" width="9.140625" style="30"/>
    <col min="15095" max="15095" width="13.7109375" style="30" customWidth="1"/>
    <col min="15096" max="15096" width="14.5703125" style="30" customWidth="1"/>
    <col min="15097" max="15097" width="14.7109375" style="30" customWidth="1"/>
    <col min="15098" max="15098" width="14.5703125" style="30" customWidth="1"/>
    <col min="15099" max="15099" width="11" style="30" customWidth="1"/>
    <col min="15100" max="15101" width="10.42578125" style="30" customWidth="1"/>
    <col min="15102" max="15103" width="11" style="30" customWidth="1"/>
    <col min="15104" max="15104" width="14.7109375" style="30" customWidth="1"/>
    <col min="15105" max="15105" width="12.28515625" style="30" customWidth="1"/>
    <col min="15106" max="15106" width="10.42578125" style="30" customWidth="1"/>
    <col min="15107" max="15109" width="9.140625" style="30"/>
    <col min="15110" max="15110" width="12" style="30" customWidth="1"/>
    <col min="15111" max="15111" width="13.5703125" style="30" customWidth="1"/>
    <col min="15112" max="15112" width="16.85546875" style="30" bestFit="1" customWidth="1"/>
    <col min="15113" max="15115" width="7.42578125" style="30" customWidth="1"/>
    <col min="15116" max="15116" width="8.7109375" style="30" bestFit="1" customWidth="1"/>
    <col min="15117" max="15118" width="11.42578125" style="30" customWidth="1"/>
    <col min="15119" max="15119" width="14.140625" style="30" customWidth="1"/>
    <col min="15120" max="15120" width="13.42578125" style="30" customWidth="1"/>
    <col min="15121" max="15125" width="13" style="30" customWidth="1"/>
    <col min="15126" max="15126" width="11.42578125" style="30" customWidth="1"/>
    <col min="15127" max="15127" width="15.5703125" style="30" customWidth="1"/>
    <col min="15128" max="15350" width="9.140625" style="30"/>
    <col min="15351" max="15351" width="13.7109375" style="30" customWidth="1"/>
    <col min="15352" max="15352" width="14.5703125" style="30" customWidth="1"/>
    <col min="15353" max="15353" width="14.7109375" style="30" customWidth="1"/>
    <col min="15354" max="15354" width="14.5703125" style="30" customWidth="1"/>
    <col min="15355" max="15355" width="11" style="30" customWidth="1"/>
    <col min="15356" max="15357" width="10.42578125" style="30" customWidth="1"/>
    <col min="15358" max="15359" width="11" style="30" customWidth="1"/>
    <col min="15360" max="15360" width="14.7109375" style="30" customWidth="1"/>
    <col min="15361" max="15361" width="12.28515625" style="30" customWidth="1"/>
    <col min="15362" max="15362" width="10.42578125" style="30" customWidth="1"/>
    <col min="15363" max="15365" width="9.140625" style="30"/>
    <col min="15366" max="15366" width="12" style="30" customWidth="1"/>
    <col min="15367" max="15367" width="13.5703125" style="30" customWidth="1"/>
    <col min="15368" max="15368" width="16.85546875" style="30" bestFit="1" customWidth="1"/>
    <col min="15369" max="15371" width="7.42578125" style="30" customWidth="1"/>
    <col min="15372" max="15372" width="8.7109375" style="30" bestFit="1" customWidth="1"/>
    <col min="15373" max="15374" width="11.42578125" style="30" customWidth="1"/>
    <col min="15375" max="15375" width="14.140625" style="30" customWidth="1"/>
    <col min="15376" max="15376" width="13.42578125" style="30" customWidth="1"/>
    <col min="15377" max="15381" width="13" style="30" customWidth="1"/>
    <col min="15382" max="15382" width="11.42578125" style="30" customWidth="1"/>
    <col min="15383" max="15383" width="15.5703125" style="30" customWidth="1"/>
    <col min="15384" max="15606" width="9.140625" style="30"/>
    <col min="15607" max="15607" width="13.7109375" style="30" customWidth="1"/>
    <col min="15608" max="15608" width="14.5703125" style="30" customWidth="1"/>
    <col min="15609" max="15609" width="14.7109375" style="30" customWidth="1"/>
    <col min="15610" max="15610" width="14.5703125" style="30" customWidth="1"/>
    <col min="15611" max="15611" width="11" style="30" customWidth="1"/>
    <col min="15612" max="15613" width="10.42578125" style="30" customWidth="1"/>
    <col min="15614" max="15615" width="11" style="30" customWidth="1"/>
    <col min="15616" max="15616" width="14.7109375" style="30" customWidth="1"/>
    <col min="15617" max="15617" width="12.28515625" style="30" customWidth="1"/>
    <col min="15618" max="15618" width="10.42578125" style="30" customWidth="1"/>
    <col min="15619" max="15621" width="9.140625" style="30"/>
    <col min="15622" max="15622" width="12" style="30" customWidth="1"/>
    <col min="15623" max="15623" width="13.5703125" style="30" customWidth="1"/>
    <col min="15624" max="15624" width="16.85546875" style="30" bestFit="1" customWidth="1"/>
    <col min="15625" max="15627" width="7.42578125" style="30" customWidth="1"/>
    <col min="15628" max="15628" width="8.7109375" style="30" bestFit="1" customWidth="1"/>
    <col min="15629" max="15630" width="11.42578125" style="30" customWidth="1"/>
    <col min="15631" max="15631" width="14.140625" style="30" customWidth="1"/>
    <col min="15632" max="15632" width="13.42578125" style="30" customWidth="1"/>
    <col min="15633" max="15637" width="13" style="30" customWidth="1"/>
    <col min="15638" max="15638" width="11.42578125" style="30" customWidth="1"/>
    <col min="15639" max="15639" width="15.5703125" style="30" customWidth="1"/>
    <col min="15640" max="15862" width="9.140625" style="30"/>
    <col min="15863" max="15863" width="13.7109375" style="30" customWidth="1"/>
    <col min="15864" max="15864" width="14.5703125" style="30" customWidth="1"/>
    <col min="15865" max="15865" width="14.7109375" style="30" customWidth="1"/>
    <col min="15866" max="15866" width="14.5703125" style="30" customWidth="1"/>
    <col min="15867" max="15867" width="11" style="30" customWidth="1"/>
    <col min="15868" max="15869" width="10.42578125" style="30" customWidth="1"/>
    <col min="15870" max="15871" width="11" style="30" customWidth="1"/>
    <col min="15872" max="15872" width="14.7109375" style="30" customWidth="1"/>
    <col min="15873" max="15873" width="12.28515625" style="30" customWidth="1"/>
    <col min="15874" max="15874" width="10.42578125" style="30" customWidth="1"/>
    <col min="15875" max="15877" width="9.140625" style="30"/>
    <col min="15878" max="15878" width="12" style="30" customWidth="1"/>
    <col min="15879" max="15879" width="13.5703125" style="30" customWidth="1"/>
    <col min="15880" max="15880" width="16.85546875" style="30" bestFit="1" customWidth="1"/>
    <col min="15881" max="15883" width="7.42578125" style="30" customWidth="1"/>
    <col min="15884" max="15884" width="8.7109375" style="30" bestFit="1" customWidth="1"/>
    <col min="15885" max="15886" width="11.42578125" style="30" customWidth="1"/>
    <col min="15887" max="15887" width="14.140625" style="30" customWidth="1"/>
    <col min="15888" max="15888" width="13.42578125" style="30" customWidth="1"/>
    <col min="15889" max="15893" width="13" style="30" customWidth="1"/>
    <col min="15894" max="15894" width="11.42578125" style="30" customWidth="1"/>
    <col min="15895" max="15895" width="15.5703125" style="30" customWidth="1"/>
    <col min="15896" max="16118" width="9.140625" style="30"/>
    <col min="16119" max="16119" width="13.7109375" style="30" customWidth="1"/>
    <col min="16120" max="16120" width="14.5703125" style="30" customWidth="1"/>
    <col min="16121" max="16121" width="14.7109375" style="30" customWidth="1"/>
    <col min="16122" max="16122" width="14.5703125" style="30" customWidth="1"/>
    <col min="16123" max="16123" width="11" style="30" customWidth="1"/>
    <col min="16124" max="16125" width="10.42578125" style="30" customWidth="1"/>
    <col min="16126" max="16127" width="11" style="30" customWidth="1"/>
    <col min="16128" max="16128" width="14.7109375" style="30" customWidth="1"/>
    <col min="16129" max="16129" width="12.28515625" style="30" customWidth="1"/>
    <col min="16130" max="16130" width="10.42578125" style="30" customWidth="1"/>
    <col min="16131" max="16133" width="9.140625" style="30"/>
    <col min="16134" max="16134" width="12" style="30" customWidth="1"/>
    <col min="16135" max="16135" width="13.5703125" style="30" customWidth="1"/>
    <col min="16136" max="16136" width="16.85546875" style="30" bestFit="1" customWidth="1"/>
    <col min="16137" max="16139" width="7.42578125" style="30" customWidth="1"/>
    <col min="16140" max="16140" width="8.7109375" style="30" bestFit="1" customWidth="1"/>
    <col min="16141" max="16142" width="11.42578125" style="30" customWidth="1"/>
    <col min="16143" max="16143" width="14.140625" style="30" customWidth="1"/>
    <col min="16144" max="16144" width="13.42578125" style="30" customWidth="1"/>
    <col min="16145" max="16149" width="13" style="30" customWidth="1"/>
    <col min="16150" max="16150" width="11.42578125" style="30" customWidth="1"/>
    <col min="16151" max="16151" width="15.5703125" style="30" customWidth="1"/>
    <col min="16152" max="16384" width="9.140625" style="30"/>
  </cols>
  <sheetData>
    <row r="1" spans="1:28" ht="15" customHeight="1">
      <c r="B1" s="357" t="s">
        <v>121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</row>
    <row r="2" spans="1:28" ht="15.75" customHeight="1" thickBot="1"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</row>
    <row r="3" spans="1:28" s="70" customFormat="1" ht="52.5" customHeight="1">
      <c r="A3" s="72" t="s">
        <v>119</v>
      </c>
      <c r="B3" s="73" t="s">
        <v>47</v>
      </c>
      <c r="C3" s="74" t="s">
        <v>30</v>
      </c>
      <c r="D3" s="75" t="s">
        <v>41</v>
      </c>
      <c r="E3" s="76" t="s">
        <v>48</v>
      </c>
      <c r="F3" s="76" t="s">
        <v>49</v>
      </c>
      <c r="G3" s="76" t="s">
        <v>50</v>
      </c>
      <c r="H3" s="76" t="s">
        <v>122</v>
      </c>
      <c r="I3" s="359" t="s">
        <v>85</v>
      </c>
      <c r="J3" s="360"/>
      <c r="K3" s="360"/>
      <c r="L3" s="361"/>
      <c r="M3" s="362" t="s">
        <v>53</v>
      </c>
      <c r="N3" s="363"/>
      <c r="O3" s="77" t="s">
        <v>43</v>
      </c>
      <c r="P3" s="78" t="s">
        <v>123</v>
      </c>
      <c r="Q3" s="79" t="s">
        <v>54</v>
      </c>
      <c r="R3" s="79" t="s">
        <v>124</v>
      </c>
      <c r="S3" s="80" t="s">
        <v>125</v>
      </c>
      <c r="T3" s="81" t="s">
        <v>57</v>
      </c>
      <c r="U3" s="364" t="s">
        <v>42</v>
      </c>
      <c r="V3" s="364" t="s">
        <v>58</v>
      </c>
      <c r="W3" s="364" t="s">
        <v>59</v>
      </c>
      <c r="X3" s="82" t="s">
        <v>126</v>
      </c>
      <c r="Y3" s="366" t="s">
        <v>65</v>
      </c>
      <c r="Z3" s="367"/>
      <c r="AA3" s="367"/>
      <c r="AB3" s="368"/>
    </row>
    <row r="4" spans="1:28" s="31" customFormat="1" ht="51.75" customHeight="1" thickBot="1">
      <c r="A4" s="83">
        <v>2020</v>
      </c>
      <c r="B4" s="84" t="s">
        <v>86</v>
      </c>
      <c r="C4" s="84" t="s">
        <v>86</v>
      </c>
      <c r="D4" s="84" t="s">
        <v>67</v>
      </c>
      <c r="E4" s="84"/>
      <c r="F4" s="84"/>
      <c r="G4" s="84"/>
      <c r="H4" s="84"/>
      <c r="I4" s="85" t="s">
        <v>68</v>
      </c>
      <c r="J4" s="85" t="s">
        <v>69</v>
      </c>
      <c r="K4" s="85" t="s">
        <v>70</v>
      </c>
      <c r="L4" s="86" t="s">
        <v>71</v>
      </c>
      <c r="M4" s="87" t="s">
        <v>72</v>
      </c>
      <c r="N4" s="87" t="s">
        <v>73</v>
      </c>
      <c r="O4" s="87"/>
      <c r="P4" s="88" t="s">
        <v>86</v>
      </c>
      <c r="Q4" s="88" t="s">
        <v>86</v>
      </c>
      <c r="R4" s="88"/>
      <c r="S4" s="89" t="s">
        <v>86</v>
      </c>
      <c r="T4" s="89" t="s">
        <v>86</v>
      </c>
      <c r="U4" s="365"/>
      <c r="V4" s="365"/>
      <c r="W4" s="365"/>
      <c r="X4" s="90" t="s">
        <v>127</v>
      </c>
      <c r="Y4" s="91"/>
      <c r="Z4" s="92"/>
      <c r="AA4" s="92"/>
      <c r="AB4" s="93"/>
    </row>
    <row r="5" spans="1:28" ht="26.25">
      <c r="A5" s="94">
        <v>1</v>
      </c>
      <c r="B5" s="95"/>
      <c r="C5" s="96"/>
      <c r="D5" s="97"/>
      <c r="E5" s="98"/>
      <c r="F5" s="98"/>
      <c r="G5" s="98"/>
      <c r="H5" s="98"/>
      <c r="I5" s="99"/>
      <c r="J5" s="97"/>
      <c r="K5" s="97"/>
      <c r="L5" s="100"/>
      <c r="M5" s="97"/>
      <c r="N5" s="100"/>
      <c r="O5" s="101"/>
      <c r="P5" s="102"/>
      <c r="Q5" s="100"/>
      <c r="R5" s="101"/>
      <c r="S5" s="100"/>
      <c r="T5" s="100"/>
      <c r="U5" s="100"/>
      <c r="V5" s="100"/>
      <c r="W5" s="100"/>
      <c r="X5" s="103"/>
      <c r="Y5" s="104"/>
      <c r="Z5" s="105"/>
      <c r="AA5" s="105"/>
      <c r="AB5" s="106"/>
    </row>
    <row r="6" spans="1:28" ht="26.25">
      <c r="A6" s="107">
        <v>2</v>
      </c>
      <c r="B6" s="108"/>
      <c r="C6" s="109"/>
      <c r="D6" s="110"/>
      <c r="E6" s="109"/>
      <c r="F6" s="109"/>
      <c r="G6" s="109"/>
      <c r="H6" s="109"/>
      <c r="I6" s="111"/>
      <c r="J6" s="112"/>
      <c r="K6" s="112">
        <f>+J6+I6</f>
        <v>0</v>
      </c>
      <c r="L6" s="113" t="e">
        <f>K6/D6</f>
        <v>#DIV/0!</v>
      </c>
      <c r="M6" s="112"/>
      <c r="N6" s="114"/>
      <c r="O6" s="115" t="e">
        <f>N6/M6</f>
        <v>#DIV/0!</v>
      </c>
      <c r="P6" s="113"/>
      <c r="Q6" s="114"/>
      <c r="R6" s="115" t="e">
        <f t="shared" ref="R6:R19" si="0">(P6+Q6)/C6</f>
        <v>#DIV/0!</v>
      </c>
      <c r="S6" s="114"/>
      <c r="T6" s="114"/>
      <c r="U6" s="114"/>
      <c r="V6" s="114"/>
      <c r="W6" s="114"/>
      <c r="X6" s="116"/>
      <c r="Y6" s="117"/>
      <c r="Z6" s="118"/>
      <c r="AA6" s="118"/>
      <c r="AB6" s="119"/>
    </row>
    <row r="7" spans="1:28" ht="26.25">
      <c r="A7" s="107">
        <v>3</v>
      </c>
      <c r="B7" s="108">
        <v>8000</v>
      </c>
      <c r="C7" s="109">
        <v>6797</v>
      </c>
      <c r="D7" s="120">
        <v>6.7</v>
      </c>
      <c r="E7" s="121">
        <v>70.664928292046937</v>
      </c>
      <c r="F7" s="121">
        <v>58.67158671586715</v>
      </c>
      <c r="G7" s="121">
        <v>92.104175609756084</v>
      </c>
      <c r="H7" s="121">
        <v>38.186607358412559</v>
      </c>
      <c r="I7" s="122">
        <f>26*8</f>
        <v>208</v>
      </c>
      <c r="J7" s="123">
        <f>12*3.4</f>
        <v>40.799999999999997</v>
      </c>
      <c r="K7" s="112">
        <f t="shared" ref="K7:K19" si="1">+J7+I7</f>
        <v>248.8</v>
      </c>
      <c r="L7" s="113">
        <f t="shared" ref="L7:L19" si="2">K7/D7</f>
        <v>37.134328358208954</v>
      </c>
      <c r="M7" s="109">
        <v>580</v>
      </c>
      <c r="N7" s="124">
        <v>135</v>
      </c>
      <c r="O7" s="115">
        <f t="shared" ref="O7:O19" si="3">N7/M7</f>
        <v>0.23275862068965517</v>
      </c>
      <c r="P7" s="125">
        <v>502</v>
      </c>
      <c r="Q7" s="124">
        <v>80</v>
      </c>
      <c r="R7" s="115">
        <f t="shared" si="0"/>
        <v>8.562601147565102E-2</v>
      </c>
      <c r="S7" s="124">
        <f>4+3</f>
        <v>7</v>
      </c>
      <c r="T7" s="124"/>
      <c r="U7" s="124">
        <v>26</v>
      </c>
      <c r="V7" s="124">
        <v>2</v>
      </c>
      <c r="W7" s="124" t="s">
        <v>83</v>
      </c>
      <c r="X7" s="126">
        <v>28</v>
      </c>
      <c r="Y7" s="117"/>
      <c r="Z7" s="118"/>
      <c r="AA7" s="118"/>
      <c r="AB7" s="119"/>
    </row>
    <row r="8" spans="1:28" ht="26.25">
      <c r="A8" s="107">
        <v>4</v>
      </c>
      <c r="B8" s="108"/>
      <c r="C8" s="112"/>
      <c r="D8" s="120"/>
      <c r="E8" s="121"/>
      <c r="F8" s="121"/>
      <c r="G8" s="121"/>
      <c r="H8" s="121"/>
      <c r="I8" s="121"/>
      <c r="J8" s="112"/>
      <c r="K8" s="112">
        <f t="shared" si="1"/>
        <v>0</v>
      </c>
      <c r="L8" s="113" t="e">
        <f t="shared" si="2"/>
        <v>#DIV/0!</v>
      </c>
      <c r="M8" s="112"/>
      <c r="N8" s="114"/>
      <c r="O8" s="115" t="e">
        <f t="shared" si="3"/>
        <v>#DIV/0!</v>
      </c>
      <c r="P8" s="113"/>
      <c r="Q8" s="114"/>
      <c r="R8" s="115" t="e">
        <f t="shared" si="0"/>
        <v>#DIV/0!</v>
      </c>
      <c r="S8" s="114"/>
      <c r="T8" s="114"/>
      <c r="U8" s="114"/>
      <c r="V8" s="114"/>
      <c r="W8" s="114"/>
      <c r="X8" s="116"/>
      <c r="Y8" s="117"/>
      <c r="Z8" s="118"/>
      <c r="AA8" s="118"/>
      <c r="AB8" s="119"/>
    </row>
    <row r="9" spans="1:28" ht="26.25">
      <c r="A9" s="127">
        <v>5</v>
      </c>
      <c r="B9" s="128"/>
      <c r="C9" s="129"/>
      <c r="D9" s="130"/>
      <c r="E9" s="129"/>
      <c r="F9" s="129"/>
      <c r="G9" s="129"/>
      <c r="H9" s="129"/>
      <c r="I9" s="129"/>
      <c r="J9" s="129"/>
      <c r="K9" s="129">
        <f t="shared" si="1"/>
        <v>0</v>
      </c>
      <c r="L9" s="131" t="e">
        <f t="shared" si="2"/>
        <v>#DIV/0!</v>
      </c>
      <c r="M9" s="129"/>
      <c r="N9" s="132"/>
      <c r="O9" s="133" t="e">
        <f t="shared" si="3"/>
        <v>#DIV/0!</v>
      </c>
      <c r="P9" s="131"/>
      <c r="Q9" s="132"/>
      <c r="R9" s="133" t="e">
        <f t="shared" si="0"/>
        <v>#DIV/0!</v>
      </c>
      <c r="S9" s="132"/>
      <c r="T9" s="132"/>
      <c r="U9" s="132"/>
      <c r="V9" s="132"/>
      <c r="W9" s="132"/>
      <c r="X9" s="134"/>
      <c r="Y9" s="135"/>
      <c r="Z9" s="136"/>
      <c r="AA9" s="136"/>
      <c r="AB9" s="137"/>
    </row>
    <row r="10" spans="1:28" ht="26.25">
      <c r="A10" s="107">
        <v>6</v>
      </c>
      <c r="B10" s="108">
        <v>6000</v>
      </c>
      <c r="C10" s="109">
        <v>5518</v>
      </c>
      <c r="D10" s="120">
        <v>5.5</v>
      </c>
      <c r="E10" s="112">
        <v>83.111111111111114</v>
      </c>
      <c r="F10" s="112">
        <v>41.417112299465245</v>
      </c>
      <c r="G10" s="112">
        <v>94.26033481380253</v>
      </c>
      <c r="H10" s="112">
        <v>32.446501917017812</v>
      </c>
      <c r="I10" s="112">
        <v>208</v>
      </c>
      <c r="J10" s="112">
        <v>0</v>
      </c>
      <c r="K10" s="112">
        <f t="shared" si="1"/>
        <v>208</v>
      </c>
      <c r="L10" s="113">
        <f t="shared" si="2"/>
        <v>37.81818181818182</v>
      </c>
      <c r="M10" s="138">
        <v>540</v>
      </c>
      <c r="N10" s="139">
        <v>76</v>
      </c>
      <c r="O10" s="115">
        <f t="shared" si="3"/>
        <v>0.14074074074074075</v>
      </c>
      <c r="P10" s="140">
        <f>336-Q10</f>
        <v>282</v>
      </c>
      <c r="Q10" s="140">
        <v>54</v>
      </c>
      <c r="R10" s="115">
        <f t="shared" si="0"/>
        <v>6.0891627401232329E-2</v>
      </c>
      <c r="S10" s="114"/>
      <c r="T10" s="114"/>
      <c r="U10" s="114">
        <v>26</v>
      </c>
      <c r="V10" s="114">
        <v>2</v>
      </c>
      <c r="W10" s="114"/>
      <c r="X10" s="116">
        <v>28</v>
      </c>
      <c r="Y10" s="117"/>
      <c r="Z10" s="118"/>
      <c r="AA10" s="118"/>
      <c r="AB10" s="119"/>
    </row>
    <row r="11" spans="1:28" ht="26.25">
      <c r="A11" s="107">
        <v>7</v>
      </c>
      <c r="B11" s="108">
        <v>8000</v>
      </c>
      <c r="C11" s="109">
        <v>8801.2056599999996</v>
      </c>
      <c r="D11" s="120">
        <v>8.8000000000000007</v>
      </c>
      <c r="E11" s="112">
        <v>80.581039755351682</v>
      </c>
      <c r="F11" s="112">
        <v>46.878557874762812</v>
      </c>
      <c r="G11" s="112">
        <v>95.354340845070425</v>
      </c>
      <c r="H11" s="112">
        <v>36.020320956841971</v>
      </c>
      <c r="I11" s="112">
        <v>216</v>
      </c>
      <c r="J11" s="112">
        <f>27*2.4</f>
        <v>64.8</v>
      </c>
      <c r="K11" s="112">
        <f t="shared" si="1"/>
        <v>280.8</v>
      </c>
      <c r="L11" s="113">
        <f t="shared" si="2"/>
        <v>31.909090909090907</v>
      </c>
      <c r="M11" s="138">
        <v>744</v>
      </c>
      <c r="N11" s="139">
        <v>127</v>
      </c>
      <c r="O11" s="115">
        <f t="shared" si="3"/>
        <v>0.17069892473118278</v>
      </c>
      <c r="P11" s="140">
        <f>428.79434-Q11</f>
        <v>374.29433999999998</v>
      </c>
      <c r="Q11" s="140">
        <v>54.5</v>
      </c>
      <c r="R11" s="115">
        <f t="shared" si="0"/>
        <v>4.8719954579495649E-2</v>
      </c>
      <c r="S11" s="114">
        <v>50</v>
      </c>
      <c r="T11" s="114"/>
      <c r="U11" s="114">
        <v>27</v>
      </c>
      <c r="V11" s="114">
        <v>1</v>
      </c>
      <c r="W11" s="114"/>
      <c r="X11" s="116">
        <v>28</v>
      </c>
      <c r="Y11" s="117"/>
      <c r="Z11" s="118"/>
      <c r="AA11" s="118"/>
      <c r="AB11" s="119"/>
    </row>
    <row r="12" spans="1:28" s="154" customFormat="1" ht="26.25">
      <c r="A12" s="141">
        <v>8</v>
      </c>
      <c r="B12" s="142">
        <v>8000</v>
      </c>
      <c r="C12" s="143">
        <v>7167.7902400000003</v>
      </c>
      <c r="D12" s="144">
        <v>7.1</v>
      </c>
      <c r="E12" s="143">
        <v>84.556574923547402</v>
      </c>
      <c r="F12" s="143">
        <v>36.383363471971073</v>
      </c>
      <c r="G12" s="143">
        <v>94.176721061621336</v>
      </c>
      <c r="H12" s="143">
        <v>28.973021831189936</v>
      </c>
      <c r="I12" s="143">
        <v>216</v>
      </c>
      <c r="J12" s="143">
        <f>27*4.4</f>
        <v>118.80000000000001</v>
      </c>
      <c r="K12" s="143">
        <f t="shared" si="1"/>
        <v>334.8</v>
      </c>
      <c r="L12" s="145">
        <f t="shared" si="2"/>
        <v>47.154929577464792</v>
      </c>
      <c r="M12" s="146">
        <v>744</v>
      </c>
      <c r="N12" s="146">
        <v>101</v>
      </c>
      <c r="O12" s="147">
        <f t="shared" si="3"/>
        <v>0.135752688172043</v>
      </c>
      <c r="P12" s="148">
        <f>443.20976-Q12</f>
        <v>324.20976000000002</v>
      </c>
      <c r="Q12" s="148">
        <f>28+69+22</f>
        <v>119</v>
      </c>
      <c r="R12" s="147">
        <f t="shared" si="0"/>
        <v>6.1833528208827718E-2</v>
      </c>
      <c r="S12" s="143"/>
      <c r="T12" s="143"/>
      <c r="U12" s="149">
        <v>27</v>
      </c>
      <c r="V12" s="149">
        <v>1</v>
      </c>
      <c r="W12" s="149"/>
      <c r="X12" s="150">
        <v>28</v>
      </c>
      <c r="Y12" s="151"/>
      <c r="Z12" s="152"/>
      <c r="AA12" s="152"/>
      <c r="AB12" s="153"/>
    </row>
    <row r="13" spans="1:28" ht="26.25">
      <c r="A13" s="107">
        <v>9</v>
      </c>
      <c r="B13" s="108">
        <v>0</v>
      </c>
      <c r="C13" s="109">
        <v>0</v>
      </c>
      <c r="D13" s="120"/>
      <c r="E13" s="112"/>
      <c r="F13" s="112"/>
      <c r="G13" s="112"/>
      <c r="H13" s="112"/>
      <c r="I13" s="112"/>
      <c r="J13" s="112"/>
      <c r="K13" s="112">
        <f t="shared" si="1"/>
        <v>0</v>
      </c>
      <c r="L13" s="113" t="e">
        <f t="shared" si="2"/>
        <v>#DIV/0!</v>
      </c>
      <c r="M13" s="112"/>
      <c r="N13" s="114"/>
      <c r="O13" s="115" t="e">
        <f t="shared" si="3"/>
        <v>#DIV/0!</v>
      </c>
      <c r="P13" s="113"/>
      <c r="Q13" s="114"/>
      <c r="R13" s="115" t="e">
        <f t="shared" si="0"/>
        <v>#DIV/0!</v>
      </c>
      <c r="S13" s="114"/>
      <c r="T13" s="114"/>
      <c r="U13" s="113"/>
      <c r="V13" s="113"/>
      <c r="W13" s="113"/>
      <c r="X13" s="155"/>
      <c r="Y13" s="117"/>
      <c r="Z13" s="118"/>
      <c r="AA13" s="118"/>
      <c r="AB13" s="119"/>
    </row>
    <row r="14" spans="1:28" ht="26.25">
      <c r="A14" s="107">
        <v>10</v>
      </c>
      <c r="B14" s="108">
        <v>4000</v>
      </c>
      <c r="C14" s="109">
        <v>4076</v>
      </c>
      <c r="D14" s="120">
        <v>4</v>
      </c>
      <c r="E14" s="112">
        <v>74.531835205992508</v>
      </c>
      <c r="F14" s="112">
        <v>28.743718592964822</v>
      </c>
      <c r="G14" s="112">
        <v>90.971492857142849</v>
      </c>
      <c r="H14" s="112">
        <v>19.489023937934718</v>
      </c>
      <c r="I14" s="112">
        <f>28*8</f>
        <v>224</v>
      </c>
      <c r="J14" s="112">
        <f>28*2.4</f>
        <v>67.2</v>
      </c>
      <c r="K14" s="112">
        <f t="shared" si="1"/>
        <v>291.2</v>
      </c>
      <c r="L14" s="113">
        <f t="shared" si="2"/>
        <v>72.8</v>
      </c>
      <c r="M14" s="114">
        <v>534</v>
      </c>
      <c r="N14" s="114">
        <v>136</v>
      </c>
      <c r="O14" s="115">
        <f t="shared" si="3"/>
        <v>0.25468164794007492</v>
      </c>
      <c r="P14" s="113">
        <v>404</v>
      </c>
      <c r="Q14" s="114">
        <v>27</v>
      </c>
      <c r="R14" s="115">
        <f t="shared" si="0"/>
        <v>0.10574092247301276</v>
      </c>
      <c r="S14" s="114">
        <v>20</v>
      </c>
      <c r="T14" s="114"/>
      <c r="U14" s="114">
        <v>28</v>
      </c>
      <c r="V14" s="114">
        <v>0</v>
      </c>
      <c r="W14" s="114"/>
      <c r="X14" s="116">
        <v>28</v>
      </c>
      <c r="Y14" s="117"/>
      <c r="Z14" s="118"/>
      <c r="AA14" s="118"/>
      <c r="AB14" s="119"/>
    </row>
    <row r="15" spans="1:28" ht="26.25">
      <c r="A15" s="107">
        <v>11</v>
      </c>
      <c r="B15" s="108"/>
      <c r="C15" s="109"/>
      <c r="D15" s="120"/>
      <c r="E15" s="112"/>
      <c r="F15" s="112"/>
      <c r="G15" s="112"/>
      <c r="H15" s="112"/>
      <c r="I15" s="112"/>
      <c r="J15" s="112"/>
      <c r="K15" s="112"/>
      <c r="L15" s="113" t="e">
        <f t="shared" si="2"/>
        <v>#DIV/0!</v>
      </c>
      <c r="M15" s="113"/>
      <c r="N15" s="113"/>
      <c r="O15" s="115"/>
      <c r="P15" s="113"/>
      <c r="Q15" s="113"/>
      <c r="R15" s="115" t="e">
        <f t="shared" si="0"/>
        <v>#DIV/0!</v>
      </c>
      <c r="S15" s="113"/>
      <c r="T15" s="113"/>
      <c r="U15" s="113"/>
      <c r="V15" s="113"/>
      <c r="W15" s="113"/>
      <c r="X15" s="155"/>
      <c r="Y15" s="117"/>
      <c r="Z15" s="118"/>
      <c r="AA15" s="118"/>
      <c r="AB15" s="119"/>
    </row>
    <row r="16" spans="1:28" s="157" customFormat="1" ht="26.25">
      <c r="A16" s="127">
        <v>12</v>
      </c>
      <c r="B16" s="128"/>
      <c r="C16" s="129"/>
      <c r="D16" s="130"/>
      <c r="E16" s="129"/>
      <c r="F16" s="129"/>
      <c r="G16" s="129"/>
      <c r="H16" s="129"/>
      <c r="I16" s="129"/>
      <c r="J16" s="129"/>
      <c r="K16" s="129">
        <f t="shared" si="1"/>
        <v>0</v>
      </c>
      <c r="L16" s="131" t="e">
        <f t="shared" si="2"/>
        <v>#DIV/0!</v>
      </c>
      <c r="M16" s="131"/>
      <c r="N16" s="131"/>
      <c r="O16" s="133" t="e">
        <f t="shared" si="3"/>
        <v>#DIV/0!</v>
      </c>
      <c r="P16" s="131"/>
      <c r="Q16" s="131"/>
      <c r="R16" s="133" t="e">
        <f t="shared" si="0"/>
        <v>#DIV/0!</v>
      </c>
      <c r="S16" s="131"/>
      <c r="T16" s="131"/>
      <c r="U16" s="131"/>
      <c r="V16" s="131"/>
      <c r="W16" s="131"/>
      <c r="X16" s="156"/>
      <c r="Y16" s="135"/>
      <c r="Z16" s="136"/>
      <c r="AA16" s="136"/>
      <c r="AB16" s="137"/>
    </row>
    <row r="17" spans="1:28" ht="26.25">
      <c r="A17" s="107">
        <v>13</v>
      </c>
      <c r="B17" s="108">
        <v>8000</v>
      </c>
      <c r="C17" s="109">
        <v>8706.7988799999985</v>
      </c>
      <c r="D17" s="120">
        <v>8.6999999999999993</v>
      </c>
      <c r="E17" s="112">
        <v>88.764044943820224</v>
      </c>
      <c r="F17" s="112">
        <v>51.561181434599156</v>
      </c>
      <c r="G17" s="112">
        <v>94.639118260869552</v>
      </c>
      <c r="H17" s="112">
        <v>43.314233151603965</v>
      </c>
      <c r="I17" s="112">
        <f>26*8</f>
        <v>208</v>
      </c>
      <c r="J17" s="112">
        <f>2.4*26</f>
        <v>62.4</v>
      </c>
      <c r="K17" s="112">
        <f t="shared" si="1"/>
        <v>270.39999999999998</v>
      </c>
      <c r="L17" s="113">
        <f t="shared" si="2"/>
        <v>31.080459770114942</v>
      </c>
      <c r="M17" s="113">
        <v>684</v>
      </c>
      <c r="N17" s="113">
        <v>60</v>
      </c>
      <c r="O17" s="115">
        <f t="shared" si="3"/>
        <v>8.771929824561403E-2</v>
      </c>
      <c r="P17" s="113">
        <v>493.20112000000154</v>
      </c>
      <c r="Q17" s="113">
        <v>13</v>
      </c>
      <c r="R17" s="115">
        <f t="shared" si="0"/>
        <v>5.8138602599719362E-2</v>
      </c>
      <c r="S17" s="113"/>
      <c r="T17" s="113"/>
      <c r="U17" s="113">
        <v>26</v>
      </c>
      <c r="V17" s="113">
        <v>0</v>
      </c>
      <c r="W17" s="113"/>
      <c r="X17" s="155">
        <v>28</v>
      </c>
      <c r="Y17" s="117"/>
      <c r="Z17" s="118"/>
      <c r="AA17" s="118"/>
      <c r="AB17" s="119"/>
    </row>
    <row r="18" spans="1:28" ht="26.25">
      <c r="A18" s="107">
        <v>14</v>
      </c>
      <c r="B18" s="108">
        <v>5000</v>
      </c>
      <c r="C18" s="109">
        <v>5333.0924399999994</v>
      </c>
      <c r="D18" s="120">
        <v>5.3</v>
      </c>
      <c r="E18" s="112">
        <v>79.255319148936167</v>
      </c>
      <c r="F18" s="112">
        <v>33.489932885906043</v>
      </c>
      <c r="G18" s="112">
        <v>85.466224999999994</v>
      </c>
      <c r="H18" s="112">
        <v>22.68491823138298</v>
      </c>
      <c r="I18" s="112">
        <f>27*8</f>
        <v>216</v>
      </c>
      <c r="J18" s="112">
        <f>27*1.4</f>
        <v>37.799999999999997</v>
      </c>
      <c r="K18" s="112">
        <f t="shared" si="1"/>
        <v>253.8</v>
      </c>
      <c r="L18" s="113">
        <f t="shared" si="2"/>
        <v>47.886792452830193</v>
      </c>
      <c r="M18" s="113">
        <v>564</v>
      </c>
      <c r="N18" s="113">
        <v>117</v>
      </c>
      <c r="O18" s="115">
        <f t="shared" si="3"/>
        <v>0.20744680851063829</v>
      </c>
      <c r="P18" s="113">
        <v>906.90756000000056</v>
      </c>
      <c r="Q18" s="113">
        <v>4</v>
      </c>
      <c r="R18" s="115">
        <f t="shared" si="0"/>
        <v>0.17080288223918366</v>
      </c>
      <c r="S18" s="113"/>
      <c r="T18" s="113"/>
      <c r="U18" s="113">
        <v>27</v>
      </c>
      <c r="V18" s="113">
        <v>1</v>
      </c>
      <c r="W18" s="113"/>
      <c r="X18" s="155">
        <v>28</v>
      </c>
      <c r="Y18" s="117"/>
      <c r="Z18" s="118"/>
      <c r="AA18" s="118"/>
      <c r="AB18" s="119"/>
    </row>
    <row r="19" spans="1:28" s="154" customFormat="1" ht="26.25">
      <c r="A19" s="141">
        <v>15</v>
      </c>
      <c r="B19" s="142">
        <v>6000</v>
      </c>
      <c r="C19" s="143">
        <v>4295</v>
      </c>
      <c r="D19" s="144">
        <v>4.3</v>
      </c>
      <c r="E19" s="143">
        <v>79.96794871794873</v>
      </c>
      <c r="F19" s="143">
        <v>38.637274549098201</v>
      </c>
      <c r="G19" s="143">
        <v>89.479166666666671</v>
      </c>
      <c r="H19" s="143">
        <v>27.646768162393172</v>
      </c>
      <c r="I19" s="143">
        <v>224</v>
      </c>
      <c r="J19" s="143">
        <f>4.4*28</f>
        <v>123.20000000000002</v>
      </c>
      <c r="K19" s="143">
        <f t="shared" si="1"/>
        <v>347.20000000000005</v>
      </c>
      <c r="L19" s="145">
        <f t="shared" si="2"/>
        <v>80.744186046511643</v>
      </c>
      <c r="M19" s="145">
        <v>744</v>
      </c>
      <c r="N19" s="145">
        <v>125</v>
      </c>
      <c r="O19" s="147">
        <f t="shared" si="3"/>
        <v>0.16801075268817203</v>
      </c>
      <c r="P19" s="145">
        <v>505</v>
      </c>
      <c r="Q19" s="145">
        <f>18+0.5+2+3+3</f>
        <v>26.5</v>
      </c>
      <c r="R19" s="115">
        <f t="shared" si="0"/>
        <v>0.12374854481955763</v>
      </c>
      <c r="S19" s="145">
        <v>270</v>
      </c>
      <c r="T19" s="145"/>
      <c r="U19" s="145">
        <v>28</v>
      </c>
      <c r="V19" s="145">
        <v>0</v>
      </c>
      <c r="W19" s="145"/>
      <c r="X19" s="158">
        <v>28</v>
      </c>
      <c r="Y19" s="151" t="s">
        <v>128</v>
      </c>
      <c r="Z19" s="152"/>
      <c r="AA19" s="152"/>
      <c r="AB19" s="153"/>
    </row>
    <row r="20" spans="1:28" ht="26.25">
      <c r="A20" s="107">
        <v>16</v>
      </c>
      <c r="B20" s="108">
        <v>4000</v>
      </c>
      <c r="C20" s="112">
        <v>5849.6578399999999</v>
      </c>
      <c r="D20" s="120">
        <v>5.8</v>
      </c>
      <c r="E20" s="112">
        <v>75.806451612903231</v>
      </c>
      <c r="F20" s="112">
        <v>58.226950354609933</v>
      </c>
      <c r="G20" s="112">
        <v>94.961977922077921</v>
      </c>
      <c r="H20" s="112">
        <v>41.916012835497845</v>
      </c>
      <c r="I20" s="112">
        <v>224</v>
      </c>
      <c r="J20" s="112">
        <f>28*1.4</f>
        <v>39.199999999999996</v>
      </c>
      <c r="K20" s="112">
        <f>+J20+I20</f>
        <v>263.2</v>
      </c>
      <c r="L20" s="113">
        <f>+K20/D20</f>
        <v>45.379310344827587</v>
      </c>
      <c r="M20" s="113">
        <v>480</v>
      </c>
      <c r="N20" s="113">
        <v>90</v>
      </c>
      <c r="O20" s="115">
        <f>N20/M20</f>
        <v>0.1875</v>
      </c>
      <c r="P20" s="113">
        <v>310.34216000000015</v>
      </c>
      <c r="Q20" s="113">
        <f>2+6+1.5+13</f>
        <v>22.5</v>
      </c>
      <c r="R20" s="115">
        <f>(P20+Q20)/C20</f>
        <v>5.6899423710567006E-2</v>
      </c>
      <c r="S20" s="113"/>
      <c r="T20" s="113"/>
      <c r="U20" s="113">
        <v>28</v>
      </c>
      <c r="V20" s="113">
        <v>0</v>
      </c>
      <c r="W20" s="113"/>
      <c r="X20" s="155">
        <v>28</v>
      </c>
      <c r="Y20" s="117"/>
      <c r="Z20" s="118"/>
      <c r="AA20" s="118"/>
      <c r="AB20" s="119"/>
    </row>
    <row r="21" spans="1:28" ht="26.25">
      <c r="A21" s="107">
        <v>17</v>
      </c>
      <c r="B21" s="108"/>
      <c r="C21" s="112"/>
      <c r="D21" s="120"/>
      <c r="E21" s="112"/>
      <c r="F21" s="112"/>
      <c r="G21" s="112"/>
      <c r="H21" s="112"/>
      <c r="I21" s="112"/>
      <c r="J21" s="112"/>
      <c r="K21" s="112">
        <f t="shared" ref="K21:K35" si="4">+J21+I21</f>
        <v>0</v>
      </c>
      <c r="L21" s="113" t="e">
        <f t="shared" ref="L21:L28" si="5">+K21/D21</f>
        <v>#DIV/0!</v>
      </c>
      <c r="M21" s="113"/>
      <c r="N21" s="113"/>
      <c r="O21" s="115" t="e">
        <f t="shared" ref="O21" si="6">N21/M21</f>
        <v>#DIV/0!</v>
      </c>
      <c r="P21" s="113"/>
      <c r="Q21" s="113"/>
      <c r="R21" s="115" t="e">
        <f t="shared" ref="R21" si="7">(P21+Q21)/C21</f>
        <v>#DIV/0!</v>
      </c>
      <c r="S21" s="113"/>
      <c r="T21" s="113"/>
      <c r="U21" s="113"/>
      <c r="V21" s="113"/>
      <c r="W21" s="113"/>
      <c r="X21" s="155"/>
      <c r="Y21" s="117"/>
      <c r="Z21" s="118"/>
      <c r="AA21" s="118"/>
      <c r="AB21" s="119"/>
    </row>
    <row r="22" spans="1:28" ht="26.25">
      <c r="A22" s="107">
        <v>18</v>
      </c>
      <c r="B22" s="108"/>
      <c r="C22" s="112"/>
      <c r="D22" s="120"/>
      <c r="E22" s="112"/>
      <c r="F22" s="112"/>
      <c r="G22" s="112"/>
      <c r="H22" s="112"/>
      <c r="I22" s="112"/>
      <c r="J22" s="112"/>
      <c r="K22" s="112">
        <f t="shared" si="4"/>
        <v>0</v>
      </c>
      <c r="L22" s="113" t="e">
        <f t="shared" si="5"/>
        <v>#DIV/0!</v>
      </c>
      <c r="M22" s="113"/>
      <c r="N22" s="113"/>
      <c r="O22" s="115" t="e">
        <f>N22/M22</f>
        <v>#DIV/0!</v>
      </c>
      <c r="P22" s="113"/>
      <c r="Q22" s="113"/>
      <c r="R22" s="115" t="e">
        <f>(P22+Q22)/C22</f>
        <v>#DIV/0!</v>
      </c>
      <c r="S22" s="113"/>
      <c r="T22" s="113"/>
      <c r="U22" s="113"/>
      <c r="V22" s="113"/>
      <c r="W22" s="113"/>
      <c r="X22" s="155"/>
      <c r="Y22" s="117"/>
      <c r="Z22" s="118"/>
      <c r="AA22" s="118"/>
      <c r="AB22" s="119"/>
    </row>
    <row r="23" spans="1:28" s="157" customFormat="1" ht="26.25">
      <c r="A23" s="127">
        <v>19</v>
      </c>
      <c r="B23" s="128"/>
      <c r="C23" s="129"/>
      <c r="D23" s="130"/>
      <c r="E23" s="129"/>
      <c r="F23" s="129"/>
      <c r="G23" s="129"/>
      <c r="H23" s="129"/>
      <c r="I23" s="129"/>
      <c r="J23" s="129"/>
      <c r="K23" s="129">
        <f t="shared" si="4"/>
        <v>0</v>
      </c>
      <c r="L23" s="131" t="e">
        <f t="shared" si="5"/>
        <v>#DIV/0!</v>
      </c>
      <c r="M23" s="131"/>
      <c r="N23" s="131"/>
      <c r="O23" s="133" t="e">
        <f>N23/M23</f>
        <v>#DIV/0!</v>
      </c>
      <c r="P23" s="131"/>
      <c r="Q23" s="131"/>
      <c r="R23" s="133" t="e">
        <f>(P23+Q23)/C23</f>
        <v>#DIV/0!</v>
      </c>
      <c r="S23" s="131"/>
      <c r="T23" s="131"/>
      <c r="U23" s="131"/>
      <c r="V23" s="131"/>
      <c r="W23" s="131"/>
      <c r="X23" s="156"/>
      <c r="Y23" s="135"/>
      <c r="Z23" s="136"/>
      <c r="AA23" s="136"/>
      <c r="AB23" s="137"/>
    </row>
    <row r="24" spans="1:28" ht="26.25">
      <c r="A24" s="107">
        <v>20</v>
      </c>
      <c r="B24" s="108">
        <v>6000</v>
      </c>
      <c r="C24" s="112">
        <v>5828</v>
      </c>
      <c r="D24" s="120">
        <v>5.8</v>
      </c>
      <c r="E24" s="112">
        <v>81.884057971014485</v>
      </c>
      <c r="F24" s="112">
        <v>48.259587020648972</v>
      </c>
      <c r="G24" s="112">
        <v>94.141216604748834</v>
      </c>
      <c r="H24" s="112">
        <v>37.201698155886255</v>
      </c>
      <c r="I24" s="112">
        <f>27*8</f>
        <v>216</v>
      </c>
      <c r="J24" s="112">
        <f>27*3.4</f>
        <v>91.8</v>
      </c>
      <c r="K24" s="112">
        <f t="shared" si="4"/>
        <v>307.8</v>
      </c>
      <c r="L24" s="113">
        <f t="shared" si="5"/>
        <v>53.068965517241381</v>
      </c>
      <c r="M24" s="113">
        <v>684</v>
      </c>
      <c r="N24" s="113">
        <f>15+60</f>
        <v>75</v>
      </c>
      <c r="O24" s="115">
        <f>N24/M24</f>
        <v>0.10964912280701754</v>
      </c>
      <c r="P24" s="113">
        <v>331.7</v>
      </c>
      <c r="Q24" s="113">
        <f>5+3+15+8</f>
        <v>31</v>
      </c>
      <c r="R24" s="115">
        <f>(P24+Q24)/C24</f>
        <v>6.2234042553191489E-2</v>
      </c>
      <c r="S24" s="113"/>
      <c r="T24" s="113"/>
      <c r="U24" s="113">
        <v>27</v>
      </c>
      <c r="V24" s="113">
        <v>1</v>
      </c>
      <c r="W24" s="113">
        <v>0</v>
      </c>
      <c r="X24" s="155">
        <v>28</v>
      </c>
      <c r="Y24" s="117"/>
      <c r="Z24" s="118"/>
      <c r="AA24" s="118"/>
      <c r="AB24" s="119"/>
    </row>
    <row r="25" spans="1:28" ht="26.25">
      <c r="A25" s="107">
        <v>21</v>
      </c>
      <c r="B25" s="108">
        <v>7000</v>
      </c>
      <c r="C25" s="112">
        <v>6911</v>
      </c>
      <c r="D25" s="120">
        <v>6.9</v>
      </c>
      <c r="E25" s="112">
        <v>79.487179487179489</v>
      </c>
      <c r="F25" s="112">
        <v>39.112903225806448</v>
      </c>
      <c r="G25" s="112">
        <v>93.903380434782619</v>
      </c>
      <c r="H25" s="112">
        <v>29.194320199275367</v>
      </c>
      <c r="I25" s="112">
        <f>U25*8</f>
        <v>216</v>
      </c>
      <c r="J25" s="112">
        <f>27*2.4</f>
        <v>64.8</v>
      </c>
      <c r="K25" s="112">
        <f t="shared" si="4"/>
        <v>280.8</v>
      </c>
      <c r="L25" s="113">
        <f t="shared" si="5"/>
        <v>40.695652173913047</v>
      </c>
      <c r="M25" s="113">
        <v>684</v>
      </c>
      <c r="N25" s="113">
        <v>128</v>
      </c>
      <c r="O25" s="115">
        <f t="shared" ref="O25:O26" si="8">N25/M25</f>
        <v>0.1871345029239766</v>
      </c>
      <c r="P25" s="113">
        <v>448</v>
      </c>
      <c r="Q25" s="113"/>
      <c r="R25" s="115">
        <f t="shared" ref="R25:R28" si="9">(P25+Q25)/C25</f>
        <v>6.4824193315005066E-2</v>
      </c>
      <c r="S25" s="113"/>
      <c r="T25" s="113"/>
      <c r="U25" s="113">
        <v>27</v>
      </c>
      <c r="V25" s="113">
        <v>1</v>
      </c>
      <c r="W25" s="113"/>
      <c r="X25" s="155">
        <v>28</v>
      </c>
      <c r="Y25" s="117"/>
      <c r="Z25" s="118"/>
      <c r="AA25" s="118"/>
      <c r="AB25" s="119"/>
    </row>
    <row r="26" spans="1:28" ht="26.25">
      <c r="A26" s="107">
        <v>22</v>
      </c>
      <c r="B26" s="108">
        <v>8000</v>
      </c>
      <c r="C26" s="112">
        <v>8705</v>
      </c>
      <c r="D26" s="120">
        <v>8.6999999999999993</v>
      </c>
      <c r="E26" s="112">
        <v>84.920634920634924</v>
      </c>
      <c r="F26" s="112">
        <v>57.091121495327116</v>
      </c>
      <c r="G26" s="112">
        <v>93.804069181034464</v>
      </c>
      <c r="H26" s="112">
        <v>45.478222826162259</v>
      </c>
      <c r="I26" s="112">
        <v>216</v>
      </c>
      <c r="J26" s="112">
        <f>27*4.4</f>
        <v>118.80000000000001</v>
      </c>
      <c r="K26" s="112">
        <f t="shared" si="4"/>
        <v>334.8</v>
      </c>
      <c r="L26" s="113">
        <f t="shared" si="5"/>
        <v>38.482758620689658</v>
      </c>
      <c r="M26" s="113">
        <v>504</v>
      </c>
      <c r="N26" s="113">
        <v>76</v>
      </c>
      <c r="O26" s="115">
        <f t="shared" si="8"/>
        <v>0.15079365079365079</v>
      </c>
      <c r="P26" s="113">
        <v>575</v>
      </c>
      <c r="Q26" s="113"/>
      <c r="R26" s="115">
        <f t="shared" si="9"/>
        <v>6.6053991958644462E-2</v>
      </c>
      <c r="S26" s="113"/>
      <c r="T26" s="113"/>
      <c r="U26" s="113">
        <v>27</v>
      </c>
      <c r="V26" s="113">
        <v>1</v>
      </c>
      <c r="W26" s="113"/>
      <c r="X26" s="155">
        <v>28</v>
      </c>
      <c r="Y26" s="117"/>
      <c r="Z26" s="118"/>
      <c r="AA26" s="118"/>
      <c r="AB26" s="119"/>
    </row>
    <row r="27" spans="1:28" ht="26.25">
      <c r="A27" s="107">
        <v>23</v>
      </c>
      <c r="B27" s="108">
        <v>6500</v>
      </c>
      <c r="C27" s="112">
        <v>3500</v>
      </c>
      <c r="D27" s="120">
        <v>3.5</v>
      </c>
      <c r="E27" s="112"/>
      <c r="F27" s="112"/>
      <c r="G27" s="112"/>
      <c r="H27" s="112"/>
      <c r="I27" s="112"/>
      <c r="J27" s="112"/>
      <c r="K27" s="112">
        <f t="shared" si="4"/>
        <v>0</v>
      </c>
      <c r="L27" s="113">
        <f t="shared" si="5"/>
        <v>0</v>
      </c>
      <c r="M27" s="113"/>
      <c r="N27" s="113"/>
      <c r="O27" s="115" t="e">
        <f>N27/M27</f>
        <v>#DIV/0!</v>
      </c>
      <c r="P27" s="113"/>
      <c r="Q27" s="113"/>
      <c r="R27" s="115">
        <f t="shared" si="9"/>
        <v>0</v>
      </c>
      <c r="S27" s="113"/>
      <c r="T27" s="113"/>
      <c r="U27" s="113"/>
      <c r="V27" s="113"/>
      <c r="W27" s="113"/>
      <c r="X27" s="155"/>
      <c r="Y27" s="117"/>
      <c r="Z27" s="118"/>
      <c r="AA27" s="118"/>
      <c r="AB27" s="119"/>
    </row>
    <row r="28" spans="1:28" ht="26.25">
      <c r="A28" s="107">
        <v>24</v>
      </c>
      <c r="B28" s="108"/>
      <c r="C28" s="112"/>
      <c r="D28" s="120"/>
      <c r="E28" s="112"/>
      <c r="F28" s="112"/>
      <c r="G28" s="112"/>
      <c r="H28" s="112"/>
      <c r="I28" s="112"/>
      <c r="J28" s="112"/>
      <c r="K28" s="112">
        <f t="shared" si="4"/>
        <v>0</v>
      </c>
      <c r="L28" s="113" t="e">
        <f t="shared" si="5"/>
        <v>#DIV/0!</v>
      </c>
      <c r="M28" s="113"/>
      <c r="N28" s="113"/>
      <c r="O28" s="115" t="e">
        <f>N28/M28</f>
        <v>#DIV/0!</v>
      </c>
      <c r="P28" s="113"/>
      <c r="Q28" s="113"/>
      <c r="R28" s="115" t="e">
        <f t="shared" si="9"/>
        <v>#DIV/0!</v>
      </c>
      <c r="S28" s="113">
        <f>4+19+30</f>
        <v>53</v>
      </c>
      <c r="T28" s="113"/>
      <c r="U28" s="113"/>
      <c r="V28" s="113"/>
      <c r="W28" s="113"/>
      <c r="X28" s="155"/>
      <c r="Y28" s="117"/>
      <c r="Z28" s="118"/>
      <c r="AA28" s="118"/>
      <c r="AB28" s="119"/>
    </row>
    <row r="29" spans="1:28" s="157" customFormat="1" ht="26.25">
      <c r="A29" s="127">
        <v>25</v>
      </c>
      <c r="B29" s="128"/>
      <c r="C29" s="129"/>
      <c r="D29" s="130"/>
      <c r="E29" s="129"/>
      <c r="F29" s="129"/>
      <c r="G29" s="129"/>
      <c r="H29" s="129"/>
      <c r="I29" s="129"/>
      <c r="J29" s="129"/>
      <c r="K29" s="129">
        <f t="shared" si="4"/>
        <v>0</v>
      </c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56"/>
      <c r="Y29" s="135"/>
      <c r="Z29" s="136"/>
      <c r="AA29" s="136"/>
      <c r="AB29" s="137"/>
    </row>
    <row r="30" spans="1:28" s="157" customFormat="1" ht="26.25">
      <c r="A30" s="127">
        <v>26</v>
      </c>
      <c r="B30" s="128"/>
      <c r="C30" s="129"/>
      <c r="D30" s="130"/>
      <c r="E30" s="129"/>
      <c r="F30" s="129"/>
      <c r="G30" s="129"/>
      <c r="H30" s="129"/>
      <c r="I30" s="129"/>
      <c r="J30" s="129"/>
      <c r="K30" s="129">
        <f t="shared" si="4"/>
        <v>0</v>
      </c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56"/>
      <c r="Y30" s="135"/>
      <c r="Z30" s="136"/>
      <c r="AA30" s="136"/>
      <c r="AB30" s="137"/>
    </row>
    <row r="31" spans="1:28" ht="26.25">
      <c r="A31" s="107">
        <v>27</v>
      </c>
      <c r="B31" s="108">
        <v>8000</v>
      </c>
      <c r="C31" s="112">
        <f>1995+1804+2866</f>
        <v>6665</v>
      </c>
      <c r="D31" s="120">
        <v>6.6</v>
      </c>
      <c r="E31" s="112">
        <v>78.63636363636364</v>
      </c>
      <c r="F31" s="112">
        <v>46.575144508670526</v>
      </c>
      <c r="G31" s="112">
        <v>86.136548837209304</v>
      </c>
      <c r="H31" s="112">
        <v>31.547511011627911</v>
      </c>
      <c r="I31" s="112">
        <f>U31*8</f>
        <v>208</v>
      </c>
      <c r="J31" s="112">
        <f>26*4.4</f>
        <v>114.4</v>
      </c>
      <c r="K31" s="112">
        <f>+J31+I31</f>
        <v>322.39999999999998</v>
      </c>
      <c r="L31" s="113">
        <f t="shared" ref="L31:L36" si="10">+K31/D31</f>
        <v>48.848484848484844</v>
      </c>
      <c r="M31" s="113">
        <v>440</v>
      </c>
      <c r="N31" s="113">
        <v>94</v>
      </c>
      <c r="O31" s="115">
        <f>N31/M31</f>
        <v>0.21363636363636362</v>
      </c>
      <c r="P31" s="113">
        <v>924</v>
      </c>
      <c r="Q31" s="113">
        <v>24</v>
      </c>
      <c r="R31" s="115">
        <f t="shared" ref="R31:R36" si="11">(P31+Q31)/C31</f>
        <v>0.14223555888972242</v>
      </c>
      <c r="S31" s="113"/>
      <c r="T31" s="113"/>
      <c r="U31" s="113">
        <v>26</v>
      </c>
      <c r="V31" s="113">
        <v>2</v>
      </c>
      <c r="W31" s="113"/>
      <c r="X31" s="155">
        <v>28</v>
      </c>
      <c r="Y31" s="117" t="s">
        <v>129</v>
      </c>
      <c r="Z31" s="118"/>
      <c r="AA31" s="118"/>
      <c r="AB31" s="119"/>
    </row>
    <row r="32" spans="1:28" ht="26.25">
      <c r="A32" s="107">
        <v>28</v>
      </c>
      <c r="B32" s="108">
        <v>8000</v>
      </c>
      <c r="C32" s="112">
        <v>8799</v>
      </c>
      <c r="D32" s="120">
        <v>8.8000000000000007</v>
      </c>
      <c r="E32" s="112">
        <v>86.472602739726028</v>
      </c>
      <c r="F32" s="112">
        <v>48.910891089108908</v>
      </c>
      <c r="G32" s="112">
        <v>96.063585152838399</v>
      </c>
      <c r="H32" s="112">
        <v>40.629632761560075</v>
      </c>
      <c r="I32" s="112">
        <f>U32*8</f>
        <v>216</v>
      </c>
      <c r="J32" s="112">
        <f>27*2.4</f>
        <v>64.8</v>
      </c>
      <c r="K32" s="112">
        <f>+J32+I32</f>
        <v>280.8</v>
      </c>
      <c r="L32" s="113">
        <f t="shared" si="10"/>
        <v>31.909090909090907</v>
      </c>
      <c r="M32" s="113">
        <v>584</v>
      </c>
      <c r="N32" s="113">
        <v>79</v>
      </c>
      <c r="O32" s="115">
        <f>N32/M32</f>
        <v>0.13527397260273974</v>
      </c>
      <c r="P32" s="113">
        <v>360</v>
      </c>
      <c r="Q32" s="113">
        <v>26</v>
      </c>
      <c r="R32" s="115">
        <f t="shared" si="11"/>
        <v>4.3868621434253893E-2</v>
      </c>
      <c r="S32" s="113"/>
      <c r="T32" s="113"/>
      <c r="U32" s="113">
        <v>27</v>
      </c>
      <c r="V32" s="113">
        <v>1</v>
      </c>
      <c r="W32" s="113"/>
      <c r="X32" s="155">
        <v>28</v>
      </c>
      <c r="Y32" s="117"/>
      <c r="Z32" s="118"/>
      <c r="AA32" s="118"/>
      <c r="AB32" s="119"/>
    </row>
    <row r="33" spans="1:49" ht="26.25">
      <c r="A33" s="107">
        <v>29</v>
      </c>
      <c r="B33" s="108">
        <v>7000</v>
      </c>
      <c r="C33" s="112">
        <f>1506+1500+2553+1580</f>
        <v>7139</v>
      </c>
      <c r="D33" s="120">
        <v>7.1</v>
      </c>
      <c r="E33" s="112">
        <v>82.337662337662337</v>
      </c>
      <c r="F33" s="112">
        <v>32.050473186119874</v>
      </c>
      <c r="G33" s="112">
        <v>93.286606185566995</v>
      </c>
      <c r="H33" s="112">
        <v>24.617971918061315</v>
      </c>
      <c r="I33" s="112">
        <f>U33*8</f>
        <v>216</v>
      </c>
      <c r="J33" s="112">
        <f>4*27</f>
        <v>108</v>
      </c>
      <c r="K33" s="112">
        <f t="shared" si="4"/>
        <v>324</v>
      </c>
      <c r="L33" s="113">
        <f t="shared" si="10"/>
        <v>45.633802816901408</v>
      </c>
      <c r="M33" s="113">
        <v>770</v>
      </c>
      <c r="N33" s="113">
        <v>136</v>
      </c>
      <c r="O33" s="115">
        <f t="shared" ref="O33:O35" si="12">N33/M33</f>
        <v>0.17662337662337663</v>
      </c>
      <c r="P33" s="113">
        <v>520.95936000000074</v>
      </c>
      <c r="Q33" s="113">
        <f>4+36</f>
        <v>40</v>
      </c>
      <c r="R33" s="115">
        <f t="shared" si="11"/>
        <v>7.857674184059403E-2</v>
      </c>
      <c r="S33" s="113">
        <v>72</v>
      </c>
      <c r="T33" s="113"/>
      <c r="U33" s="113">
        <v>27</v>
      </c>
      <c r="V33" s="113">
        <v>1</v>
      </c>
      <c r="W33" s="113"/>
      <c r="X33" s="155">
        <v>28</v>
      </c>
      <c r="Y33" s="117"/>
      <c r="Z33" s="118"/>
      <c r="AA33" s="118"/>
      <c r="AB33" s="119"/>
    </row>
    <row r="34" spans="1:49" ht="26.25">
      <c r="A34" s="107">
        <v>30</v>
      </c>
      <c r="B34" s="108"/>
      <c r="C34" s="112"/>
      <c r="D34" s="120"/>
      <c r="E34" s="112"/>
      <c r="F34" s="112"/>
      <c r="G34" s="112"/>
      <c r="H34" s="112"/>
      <c r="I34" s="112"/>
      <c r="J34" s="112"/>
      <c r="K34" s="112">
        <f t="shared" si="4"/>
        <v>0</v>
      </c>
      <c r="L34" s="113" t="e">
        <f t="shared" si="10"/>
        <v>#DIV/0!</v>
      </c>
      <c r="M34" s="113"/>
      <c r="N34" s="113"/>
      <c r="O34" s="115" t="e">
        <f t="shared" si="12"/>
        <v>#DIV/0!</v>
      </c>
      <c r="P34" s="113"/>
      <c r="Q34" s="113"/>
      <c r="R34" s="115" t="e">
        <f t="shared" si="11"/>
        <v>#DIV/0!</v>
      </c>
      <c r="S34" s="113"/>
      <c r="T34" s="113"/>
      <c r="U34" s="113"/>
      <c r="V34" s="113"/>
      <c r="W34" s="113"/>
      <c r="X34" s="155"/>
      <c r="Y34" s="117"/>
      <c r="Z34" s="118"/>
      <c r="AA34" s="118"/>
      <c r="AB34" s="119"/>
    </row>
    <row r="35" spans="1:49" ht="26.25">
      <c r="A35" s="107">
        <v>31</v>
      </c>
      <c r="B35" s="108"/>
      <c r="C35" s="112"/>
      <c r="D35" s="120"/>
      <c r="E35" s="112"/>
      <c r="F35" s="112"/>
      <c r="G35" s="112"/>
      <c r="H35" s="112"/>
      <c r="I35" s="112"/>
      <c r="J35" s="112"/>
      <c r="K35" s="112">
        <f t="shared" si="4"/>
        <v>0</v>
      </c>
      <c r="L35" s="113" t="e">
        <f t="shared" si="10"/>
        <v>#DIV/0!</v>
      </c>
      <c r="M35" s="113"/>
      <c r="N35" s="113"/>
      <c r="O35" s="115" t="e">
        <f t="shared" si="12"/>
        <v>#DIV/0!</v>
      </c>
      <c r="P35" s="113"/>
      <c r="Q35" s="113"/>
      <c r="R35" s="115" t="e">
        <f t="shared" si="11"/>
        <v>#DIV/0!</v>
      </c>
      <c r="S35" s="113"/>
      <c r="T35" s="113"/>
      <c r="U35" s="113"/>
      <c r="V35" s="113"/>
      <c r="W35" s="113"/>
      <c r="X35" s="155"/>
      <c r="Y35" s="117"/>
      <c r="Z35" s="118"/>
      <c r="AA35" s="118"/>
      <c r="AB35" s="119"/>
    </row>
    <row r="36" spans="1:49" ht="27" thickBot="1">
      <c r="A36" s="159" t="s">
        <v>84</v>
      </c>
      <c r="B36" s="160">
        <f>SUM(B5:B35)</f>
        <v>107500</v>
      </c>
      <c r="C36" s="161">
        <f t="shared" ref="C36:X36" si="13">SUM(C5:C35)</f>
        <v>104091.54506</v>
      </c>
      <c r="D36" s="162">
        <f t="shared" si="13"/>
        <v>103.59999999999998</v>
      </c>
      <c r="E36" s="163">
        <f>AVERAGE(E5:E35)</f>
        <v>80.731850320282589</v>
      </c>
      <c r="F36" s="163">
        <f t="shared" ref="F36:H36" si="14">AVERAGE(F5:F35)</f>
        <v>44.400653246995084</v>
      </c>
      <c r="G36" s="163">
        <f t="shared" si="14"/>
        <v>92.583263962212541</v>
      </c>
      <c r="H36" s="163">
        <f t="shared" si="14"/>
        <v>33.28978435032321</v>
      </c>
      <c r="I36" s="164">
        <f t="shared" si="13"/>
        <v>3232</v>
      </c>
      <c r="J36" s="164">
        <f t="shared" si="13"/>
        <v>1116.7999999999997</v>
      </c>
      <c r="K36" s="165">
        <f>+J36+I36</f>
        <v>4348.7999999999993</v>
      </c>
      <c r="L36" s="113">
        <f t="shared" si="10"/>
        <v>41.97683397683398</v>
      </c>
      <c r="M36" s="166">
        <f t="shared" si="13"/>
        <v>9280</v>
      </c>
      <c r="N36" s="166">
        <f t="shared" si="13"/>
        <v>1555</v>
      </c>
      <c r="O36" s="115">
        <f>N36/M36</f>
        <v>0.16756465517241378</v>
      </c>
      <c r="P36" s="167">
        <f t="shared" si="13"/>
        <v>7261.6143000000029</v>
      </c>
      <c r="Q36" s="167">
        <f t="shared" si="13"/>
        <v>521.5</v>
      </c>
      <c r="R36" s="115">
        <f t="shared" si="11"/>
        <v>7.4771820281019877E-2</v>
      </c>
      <c r="S36" s="168">
        <f t="shared" si="13"/>
        <v>472</v>
      </c>
      <c r="T36" s="168">
        <f t="shared" si="13"/>
        <v>0</v>
      </c>
      <c r="U36" s="169">
        <f t="shared" si="13"/>
        <v>404</v>
      </c>
      <c r="V36" s="169">
        <f t="shared" si="13"/>
        <v>14</v>
      </c>
      <c r="W36" s="169">
        <f t="shared" si="13"/>
        <v>0</v>
      </c>
      <c r="X36" s="170">
        <f t="shared" si="13"/>
        <v>420</v>
      </c>
      <c r="Y36" s="171"/>
      <c r="Z36" s="172"/>
      <c r="AA36" s="172"/>
      <c r="AB36" s="173"/>
    </row>
    <row r="37" spans="1:49" ht="26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49">
      <c r="B38" s="371" t="s">
        <v>45</v>
      </c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 t="s">
        <v>46</v>
      </c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2"/>
      <c r="AP38" s="372"/>
      <c r="AQ38" s="372"/>
      <c r="AR38" s="372"/>
    </row>
    <row r="39" spans="1:49" ht="15.75" thickBot="1"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2"/>
      <c r="AD39" s="372"/>
      <c r="AE39" s="372"/>
      <c r="AF39" s="372"/>
      <c r="AG39" s="372"/>
      <c r="AH39" s="372"/>
      <c r="AI39" s="372"/>
      <c r="AJ39" s="372"/>
      <c r="AK39" s="372"/>
      <c r="AL39" s="372"/>
      <c r="AM39" s="372"/>
      <c r="AN39" s="372"/>
      <c r="AO39" s="372"/>
      <c r="AP39" s="372"/>
      <c r="AQ39" s="372"/>
      <c r="AR39" s="372"/>
    </row>
    <row r="40" spans="1:49" ht="38.25">
      <c r="A40" s="72" t="s">
        <v>130</v>
      </c>
      <c r="B40" s="174" t="s">
        <v>47</v>
      </c>
      <c r="C40" s="175" t="s">
        <v>30</v>
      </c>
      <c r="D40" s="174" t="s">
        <v>41</v>
      </c>
      <c r="E40" s="176"/>
      <c r="F40" s="373" t="s">
        <v>48</v>
      </c>
      <c r="G40" s="373" t="s">
        <v>49</v>
      </c>
      <c r="H40" s="373" t="s">
        <v>50</v>
      </c>
      <c r="I40" s="375" t="s">
        <v>51</v>
      </c>
      <c r="J40" s="359" t="s">
        <v>52</v>
      </c>
      <c r="K40" s="360"/>
      <c r="L40" s="360"/>
      <c r="M40" s="361"/>
      <c r="N40" s="177"/>
      <c r="O40" s="377" t="s">
        <v>53</v>
      </c>
      <c r="P40" s="378"/>
      <c r="Q40" s="178" t="s">
        <v>43</v>
      </c>
      <c r="R40" s="179" t="s">
        <v>54</v>
      </c>
      <c r="S40" s="179"/>
      <c r="T40" s="379" t="s">
        <v>55</v>
      </c>
      <c r="U40" s="379"/>
      <c r="V40" s="379"/>
      <c r="W40" s="180" t="s">
        <v>56</v>
      </c>
      <c r="X40" s="181" t="s">
        <v>57</v>
      </c>
      <c r="Y40" s="380" t="s">
        <v>42</v>
      </c>
      <c r="Z40" s="380" t="s">
        <v>58</v>
      </c>
      <c r="AA40" s="380" t="s">
        <v>59</v>
      </c>
      <c r="AB40" s="382" t="s">
        <v>60</v>
      </c>
      <c r="AC40" s="182" t="s">
        <v>41</v>
      </c>
      <c r="AD40" s="183" t="s">
        <v>61</v>
      </c>
      <c r="AE40" s="359" t="s">
        <v>62</v>
      </c>
      <c r="AF40" s="360"/>
      <c r="AG40" s="360"/>
      <c r="AH40" s="361"/>
      <c r="AI40" s="384" t="s">
        <v>53</v>
      </c>
      <c r="AJ40" s="385"/>
      <c r="AK40" s="369" t="s">
        <v>63</v>
      </c>
      <c r="AL40" s="370"/>
      <c r="AM40" s="184" t="s">
        <v>54</v>
      </c>
      <c r="AN40" s="181" t="s">
        <v>57</v>
      </c>
      <c r="AO40" s="386" t="s">
        <v>42</v>
      </c>
      <c r="AP40" s="388" t="s">
        <v>58</v>
      </c>
      <c r="AQ40" s="364" t="s">
        <v>59</v>
      </c>
      <c r="AR40" s="390" t="s">
        <v>64</v>
      </c>
      <c r="AS40" s="366" t="s">
        <v>65</v>
      </c>
      <c r="AT40" s="367"/>
      <c r="AU40" s="367"/>
      <c r="AV40" s="367"/>
      <c r="AW40" s="368"/>
    </row>
    <row r="41" spans="1:49" ht="70.5" thickBot="1">
      <c r="A41" s="83">
        <v>2020</v>
      </c>
      <c r="B41" s="185" t="s">
        <v>66</v>
      </c>
      <c r="C41" s="185" t="s">
        <v>66</v>
      </c>
      <c r="D41" s="185" t="s">
        <v>67</v>
      </c>
      <c r="E41" s="185"/>
      <c r="F41" s="374"/>
      <c r="G41" s="374"/>
      <c r="H41" s="374"/>
      <c r="I41" s="376"/>
      <c r="J41" s="186" t="s">
        <v>68</v>
      </c>
      <c r="K41" s="186" t="s">
        <v>69</v>
      </c>
      <c r="L41" s="186" t="s">
        <v>70</v>
      </c>
      <c r="M41" s="187" t="s">
        <v>71</v>
      </c>
      <c r="N41" s="188" t="s">
        <v>131</v>
      </c>
      <c r="O41" s="189" t="s">
        <v>72</v>
      </c>
      <c r="P41" s="189" t="s">
        <v>73</v>
      </c>
      <c r="Q41" s="190" t="s">
        <v>74</v>
      </c>
      <c r="R41" s="191" t="s">
        <v>75</v>
      </c>
      <c r="S41" s="191" t="s">
        <v>43</v>
      </c>
      <c r="T41" s="192" t="s">
        <v>76</v>
      </c>
      <c r="U41" s="192" t="s">
        <v>77</v>
      </c>
      <c r="V41" s="192" t="s">
        <v>43</v>
      </c>
      <c r="W41" s="193" t="s">
        <v>78</v>
      </c>
      <c r="X41" s="194" t="s">
        <v>78</v>
      </c>
      <c r="Y41" s="381"/>
      <c r="Z41" s="381"/>
      <c r="AA41" s="381"/>
      <c r="AB41" s="383"/>
      <c r="AC41" s="195" t="s">
        <v>67</v>
      </c>
      <c r="AD41" s="195" t="s">
        <v>79</v>
      </c>
      <c r="AE41" s="186" t="s">
        <v>68</v>
      </c>
      <c r="AF41" s="186" t="s">
        <v>69</v>
      </c>
      <c r="AG41" s="186" t="s">
        <v>70</v>
      </c>
      <c r="AH41" s="187" t="s">
        <v>71</v>
      </c>
      <c r="AI41" s="196" t="s">
        <v>72</v>
      </c>
      <c r="AJ41" s="196" t="s">
        <v>73</v>
      </c>
      <c r="AK41" s="89" t="s">
        <v>80</v>
      </c>
      <c r="AL41" s="89" t="s">
        <v>81</v>
      </c>
      <c r="AM41" s="88" t="s">
        <v>78</v>
      </c>
      <c r="AN41" s="194" t="s">
        <v>82</v>
      </c>
      <c r="AO41" s="387"/>
      <c r="AP41" s="389"/>
      <c r="AQ41" s="365"/>
      <c r="AR41" s="391"/>
      <c r="AS41" s="392"/>
      <c r="AT41" s="393"/>
      <c r="AU41" s="393"/>
      <c r="AV41" s="393"/>
      <c r="AW41" s="394"/>
    </row>
    <row r="42" spans="1:49" ht="28.5" customHeight="1">
      <c r="A42" s="197">
        <v>1</v>
      </c>
      <c r="B42" s="198"/>
      <c r="C42" s="199"/>
      <c r="D42" s="199"/>
      <c r="E42" s="199"/>
      <c r="F42" s="200"/>
      <c r="G42" s="200"/>
      <c r="H42" s="200"/>
      <c r="I42" s="200"/>
      <c r="J42" s="201"/>
      <c r="K42" s="199"/>
      <c r="L42" s="199">
        <f t="shared" ref="L42:L72" si="15">K42+J42</f>
        <v>0</v>
      </c>
      <c r="M42" s="202" t="e">
        <f>L42/D42</f>
        <v>#DIV/0!</v>
      </c>
      <c r="N42" s="202"/>
      <c r="O42" s="203">
        <f>'[1]1'!F48+'[1]2'!F48+'[1]3'!F48</f>
        <v>0</v>
      </c>
      <c r="P42" s="203">
        <f>'[1]1'!AA48+'[1]2'!AA48+'[1]3'!AA48</f>
        <v>0</v>
      </c>
      <c r="Q42" s="197" t="e">
        <f t="shared" ref="Q42:Q72" si="16">O42/P42</f>
        <v>#DIV/0!</v>
      </c>
      <c r="R42" s="204"/>
      <c r="S42" s="205" t="e">
        <f>+R42/D42</f>
        <v>#DIV/0!</v>
      </c>
      <c r="T42" s="204"/>
      <c r="U42" s="204">
        <f>'[1]1'!AR48+'[1]2'!AR48+'[1]3'!AR48</f>
        <v>0</v>
      </c>
      <c r="V42" s="204"/>
      <c r="W42" s="203"/>
      <c r="X42" s="203"/>
      <c r="Y42" s="203"/>
      <c r="Z42" s="203"/>
      <c r="AA42" s="203"/>
      <c r="AB42" s="203">
        <v>21</v>
      </c>
      <c r="AC42" s="204"/>
      <c r="AD42" s="203"/>
      <c r="AE42" s="206">
        <f t="shared" ref="AE42:AE60" si="17">AO42*8</f>
        <v>0</v>
      </c>
      <c r="AF42" s="203"/>
      <c r="AG42" s="204">
        <f t="shared" ref="AG42:AG72" si="18">AE42+AF42</f>
        <v>0</v>
      </c>
      <c r="AH42" s="207" t="e">
        <f t="shared" ref="AH42:AH72" si="19">AC42/AO42</f>
        <v>#DIV/0!</v>
      </c>
      <c r="AI42" s="203"/>
      <c r="AJ42" s="203"/>
      <c r="AK42" s="204"/>
      <c r="AL42" s="204"/>
      <c r="AM42" s="203"/>
      <c r="AN42" s="203"/>
      <c r="AO42" s="203"/>
      <c r="AP42" s="203"/>
      <c r="AQ42" s="203"/>
      <c r="AR42" s="208"/>
      <c r="AS42" s="209"/>
      <c r="AT42" s="210"/>
      <c r="AU42" s="210"/>
      <c r="AV42" s="210"/>
      <c r="AW42" s="211"/>
    </row>
    <row r="43" spans="1:49" ht="26.25">
      <c r="A43" s="212">
        <v>2</v>
      </c>
      <c r="B43" s="213"/>
      <c r="C43" s="214"/>
      <c r="D43" s="32"/>
      <c r="E43" s="32"/>
      <c r="F43" s="215"/>
      <c r="G43" s="215"/>
      <c r="H43" s="215"/>
      <c r="I43" s="215"/>
      <c r="J43" s="216"/>
      <c r="K43" s="217"/>
      <c r="L43" s="214">
        <f t="shared" si="15"/>
        <v>0</v>
      </c>
      <c r="M43" s="202" t="e">
        <f>L43/D43</f>
        <v>#DIV/0!</v>
      </c>
      <c r="N43" s="202"/>
      <c r="O43" s="218">
        <f>'[1]1'!F49+'[1]2'!F49+'[1]3'!F49</f>
        <v>0</v>
      </c>
      <c r="P43" s="218">
        <f>'[1]1'!AA49+'[1]2'!AA49+'[1]3'!AA49</f>
        <v>0</v>
      </c>
      <c r="Q43" s="219" t="e">
        <f t="shared" si="16"/>
        <v>#DIV/0!</v>
      </c>
      <c r="R43" s="220"/>
      <c r="S43" s="221" t="e">
        <f t="shared" ref="S43:S72" si="20">+R43/D43</f>
        <v>#DIV/0!</v>
      </c>
      <c r="T43" s="220"/>
      <c r="U43" s="222">
        <f>'[1]1'!AR49+'[1]2'!AR49+'[1]3'!AR49</f>
        <v>0</v>
      </c>
      <c r="V43" s="222" t="e">
        <f t="shared" ref="V43:V57" si="21">T43/U43</f>
        <v>#DIV/0!</v>
      </c>
      <c r="W43" s="223" t="s">
        <v>83</v>
      </c>
      <c r="X43" s="223" t="s">
        <v>83</v>
      </c>
      <c r="Y43" s="218">
        <v>0</v>
      </c>
      <c r="Z43" s="223" t="s">
        <v>83</v>
      </c>
      <c r="AA43" s="223" t="s">
        <v>83</v>
      </c>
      <c r="AB43" s="218">
        <v>21</v>
      </c>
      <c r="AC43" s="220"/>
      <c r="AD43" s="223"/>
      <c r="AE43" s="224">
        <f t="shared" si="17"/>
        <v>0</v>
      </c>
      <c r="AF43" s="223"/>
      <c r="AG43" s="222">
        <f t="shared" si="18"/>
        <v>0</v>
      </c>
      <c r="AH43" s="222" t="e">
        <f t="shared" si="19"/>
        <v>#DIV/0!</v>
      </c>
      <c r="AI43" s="223"/>
      <c r="AJ43" s="223" t="s">
        <v>83</v>
      </c>
      <c r="AK43" s="220">
        <v>327.9</v>
      </c>
      <c r="AL43" s="220">
        <v>20.2</v>
      </c>
      <c r="AM43" s="223"/>
      <c r="AN43" s="223" t="s">
        <v>83</v>
      </c>
      <c r="AO43" s="223"/>
      <c r="AP43" s="223" t="s">
        <v>83</v>
      </c>
      <c r="AQ43" s="223" t="s">
        <v>83</v>
      </c>
      <c r="AR43" s="225">
        <v>12</v>
      </c>
      <c r="AS43" s="226"/>
      <c r="AT43" s="227"/>
      <c r="AU43" s="227"/>
      <c r="AV43" s="227"/>
      <c r="AW43" s="228"/>
    </row>
    <row r="44" spans="1:49" ht="26.25">
      <c r="A44" s="212">
        <v>3</v>
      </c>
      <c r="B44" s="213">
        <v>420</v>
      </c>
      <c r="C44" s="214">
        <v>420</v>
      </c>
      <c r="D44" s="32">
        <f>+C44*2.8</f>
        <v>1176</v>
      </c>
      <c r="E44" s="32">
        <f>D44/1000</f>
        <v>1.1759999999999999</v>
      </c>
      <c r="F44" s="215">
        <f>('[1]1'!AM50+'[1]2'!AM50+'[1]3'!AM50)/3</f>
        <v>0</v>
      </c>
      <c r="G44" s="215">
        <f>('[1]1'!AN50+'[1]2'!AN50+'[1]3'!AN50)/3</f>
        <v>0</v>
      </c>
      <c r="H44" s="215">
        <f>('[1]1'!AO50+'[1]2'!AO50+'[1]3'!AO50)/3</f>
        <v>0</v>
      </c>
      <c r="I44" s="215">
        <f t="shared" ref="I44:I56" si="22">(F44*G44*H44)/10000</f>
        <v>0</v>
      </c>
      <c r="J44" s="216">
        <f t="shared" ref="J44:J72" si="23">Y44*8</f>
        <v>152</v>
      </c>
      <c r="K44" s="217">
        <v>0</v>
      </c>
      <c r="L44" s="214">
        <f t="shared" si="15"/>
        <v>152</v>
      </c>
      <c r="M44" s="202">
        <f>L44/E44</f>
        <v>129.25170068027211</v>
      </c>
      <c r="N44" s="202">
        <f t="shared" ref="N44:N72" si="24">L44/C44</f>
        <v>0.3619047619047619</v>
      </c>
      <c r="O44" s="218">
        <f>'[1]1'!F50+'[1]2'!F50+'[1]3'!F50</f>
        <v>0</v>
      </c>
      <c r="P44" s="218">
        <f>'[1]1'!AA50+'[1]2'!AA50+'[1]3'!AA50</f>
        <v>0</v>
      </c>
      <c r="Q44" s="219" t="e">
        <f t="shared" si="16"/>
        <v>#DIV/0!</v>
      </c>
      <c r="R44" s="220">
        <f>1.8+0.7</f>
        <v>2.5</v>
      </c>
      <c r="S44" s="221">
        <f t="shared" si="20"/>
        <v>2.1258503401360546E-3</v>
      </c>
      <c r="T44" s="220">
        <f>(2+1+3+0.83)*11</f>
        <v>75.13</v>
      </c>
      <c r="U44" s="222">
        <f>'[1]1'!AR50+'[1]2'!AR50+'[1]3'!AR50</f>
        <v>0</v>
      </c>
      <c r="V44" s="222" t="e">
        <f t="shared" si="21"/>
        <v>#DIV/0!</v>
      </c>
      <c r="W44" s="223" t="s">
        <v>83</v>
      </c>
      <c r="X44" s="223" t="s">
        <v>83</v>
      </c>
      <c r="Y44" s="218">
        <v>19</v>
      </c>
      <c r="Z44" s="223">
        <v>5</v>
      </c>
      <c r="AA44" s="223" t="s">
        <v>83</v>
      </c>
      <c r="AB44" s="218">
        <v>21</v>
      </c>
      <c r="AC44" s="220"/>
      <c r="AD44" s="223"/>
      <c r="AE44" s="224">
        <f t="shared" si="17"/>
        <v>0</v>
      </c>
      <c r="AF44" s="223"/>
      <c r="AG44" s="222">
        <f t="shared" si="18"/>
        <v>0</v>
      </c>
      <c r="AH44" s="222" t="e">
        <f t="shared" si="19"/>
        <v>#DIV/0!</v>
      </c>
      <c r="AI44" s="223"/>
      <c r="AJ44" s="223" t="s">
        <v>83</v>
      </c>
      <c r="AK44" s="220">
        <f>163.6+93.2</f>
        <v>256.8</v>
      </c>
      <c r="AL44" s="220">
        <f>11.6+11.9</f>
        <v>23.5</v>
      </c>
      <c r="AM44" s="223"/>
      <c r="AN44" s="223" t="s">
        <v>83</v>
      </c>
      <c r="AO44" s="223"/>
      <c r="AP44" s="223" t="s">
        <v>83</v>
      </c>
      <c r="AQ44" s="223" t="s">
        <v>83</v>
      </c>
      <c r="AR44" s="225">
        <v>12</v>
      </c>
      <c r="AS44" s="226"/>
      <c r="AT44" s="227"/>
      <c r="AU44" s="227"/>
      <c r="AV44" s="227"/>
      <c r="AW44" s="228"/>
    </row>
    <row r="45" spans="1:49" ht="26.25">
      <c r="A45" s="212">
        <v>4</v>
      </c>
      <c r="B45" s="213"/>
      <c r="C45" s="214"/>
      <c r="D45" s="32">
        <f t="shared" ref="D45:D72" si="25">+C45*2.8</f>
        <v>0</v>
      </c>
      <c r="E45" s="32">
        <f t="shared" ref="E45:E72" si="26">D45/1000</f>
        <v>0</v>
      </c>
      <c r="F45" s="215"/>
      <c r="G45" s="215"/>
      <c r="H45" s="215"/>
      <c r="I45" s="215"/>
      <c r="J45" s="216">
        <f t="shared" si="23"/>
        <v>0</v>
      </c>
      <c r="K45" s="217"/>
      <c r="L45" s="214">
        <f t="shared" si="15"/>
        <v>0</v>
      </c>
      <c r="M45" s="202"/>
      <c r="N45" s="202"/>
      <c r="O45" s="218">
        <f>'[1]1'!F51+'[1]2'!F51+'[1]3'!F51</f>
        <v>0</v>
      </c>
      <c r="P45" s="218">
        <f>'[1]1'!AA51+'[1]2'!AA51+'[1]3'!AA51</f>
        <v>0</v>
      </c>
      <c r="Q45" s="219" t="e">
        <f t="shared" si="16"/>
        <v>#DIV/0!</v>
      </c>
      <c r="R45" s="220"/>
      <c r="S45" s="221" t="e">
        <f t="shared" si="20"/>
        <v>#DIV/0!</v>
      </c>
      <c r="T45" s="220"/>
      <c r="U45" s="222">
        <f>'[1]1'!AR51+'[1]2'!AR51+'[1]3'!AR51</f>
        <v>0</v>
      </c>
      <c r="V45" s="222" t="e">
        <f t="shared" si="21"/>
        <v>#DIV/0!</v>
      </c>
      <c r="W45" s="223" t="s">
        <v>83</v>
      </c>
      <c r="X45" s="223" t="s">
        <v>83</v>
      </c>
      <c r="Y45" s="218">
        <v>0</v>
      </c>
      <c r="Z45" s="223" t="s">
        <v>83</v>
      </c>
      <c r="AA45" s="223" t="s">
        <v>83</v>
      </c>
      <c r="AB45" s="218">
        <v>21</v>
      </c>
      <c r="AC45" s="220"/>
      <c r="AD45" s="223"/>
      <c r="AE45" s="224">
        <f t="shared" si="17"/>
        <v>0</v>
      </c>
      <c r="AF45" s="223"/>
      <c r="AG45" s="222">
        <f t="shared" si="18"/>
        <v>0</v>
      </c>
      <c r="AH45" s="222" t="e">
        <f t="shared" si="19"/>
        <v>#DIV/0!</v>
      </c>
      <c r="AI45" s="223"/>
      <c r="AJ45" s="223"/>
      <c r="AK45" s="220">
        <f>227.7+31.1</f>
        <v>258.8</v>
      </c>
      <c r="AL45" s="220">
        <f>20.5+2.5</f>
        <v>23</v>
      </c>
      <c r="AM45" s="223"/>
      <c r="AN45" s="223" t="s">
        <v>83</v>
      </c>
      <c r="AO45" s="223"/>
      <c r="AP45" s="223" t="s">
        <v>83</v>
      </c>
      <c r="AQ45" s="223" t="s">
        <v>83</v>
      </c>
      <c r="AR45" s="225">
        <v>12</v>
      </c>
      <c r="AS45" s="226"/>
      <c r="AT45" s="227"/>
      <c r="AU45" s="227"/>
      <c r="AV45" s="227"/>
      <c r="AW45" s="228"/>
    </row>
    <row r="46" spans="1:49" ht="26.25">
      <c r="A46" s="229">
        <v>5</v>
      </c>
      <c r="B46" s="230"/>
      <c r="C46" s="231"/>
      <c r="D46" s="232">
        <f t="shared" si="25"/>
        <v>0</v>
      </c>
      <c r="E46" s="232">
        <f t="shared" si="26"/>
        <v>0</v>
      </c>
      <c r="F46" s="233"/>
      <c r="G46" s="233"/>
      <c r="H46" s="233"/>
      <c r="I46" s="233"/>
      <c r="J46" s="234">
        <f t="shared" si="23"/>
        <v>0</v>
      </c>
      <c r="K46" s="235"/>
      <c r="L46" s="235">
        <f t="shared" si="15"/>
        <v>0</v>
      </c>
      <c r="M46" s="202"/>
      <c r="N46" s="202"/>
      <c r="O46" s="236">
        <f>'[1]1'!F52+'[1]2'!F52+'[1]3'!F52</f>
        <v>0</v>
      </c>
      <c r="P46" s="236">
        <f>'[1]1'!AA52+'[1]2'!AA52+'[1]3'!AA52</f>
        <v>0</v>
      </c>
      <c r="Q46" s="237" t="e">
        <f t="shared" si="16"/>
        <v>#DIV/0!</v>
      </c>
      <c r="R46" s="238"/>
      <c r="S46" s="239" t="e">
        <f t="shared" si="20"/>
        <v>#DIV/0!</v>
      </c>
      <c r="T46" s="238"/>
      <c r="U46" s="240">
        <f>'[1]1'!AR52+'[1]2'!AR52+'[1]3'!AR52</f>
        <v>0</v>
      </c>
      <c r="V46" s="240" t="e">
        <f t="shared" si="21"/>
        <v>#DIV/0!</v>
      </c>
      <c r="W46" s="241"/>
      <c r="X46" s="241"/>
      <c r="Y46" s="241"/>
      <c r="Z46" s="241"/>
      <c r="AA46" s="241"/>
      <c r="AB46" s="236">
        <v>21</v>
      </c>
      <c r="AC46" s="238"/>
      <c r="AD46" s="241"/>
      <c r="AE46" s="242">
        <f t="shared" si="17"/>
        <v>0</v>
      </c>
      <c r="AF46" s="241"/>
      <c r="AG46" s="240">
        <f t="shared" si="18"/>
        <v>0</v>
      </c>
      <c r="AH46" s="240" t="e">
        <f t="shared" si="19"/>
        <v>#DIV/0!</v>
      </c>
      <c r="AI46" s="241"/>
      <c r="AJ46" s="241"/>
      <c r="AK46" s="238"/>
      <c r="AL46" s="238"/>
      <c r="AM46" s="241"/>
      <c r="AN46" s="241"/>
      <c r="AO46" s="241"/>
      <c r="AP46" s="241"/>
      <c r="AQ46" s="241"/>
      <c r="AR46" s="243"/>
      <c r="AS46" s="244"/>
      <c r="AT46" s="245"/>
      <c r="AU46" s="245"/>
      <c r="AV46" s="245"/>
      <c r="AW46" s="246"/>
    </row>
    <row r="47" spans="1:49" ht="26.25">
      <c r="A47" s="212">
        <v>6</v>
      </c>
      <c r="B47" s="213">
        <v>350</v>
      </c>
      <c r="C47" s="214">
        <v>350</v>
      </c>
      <c r="D47" s="32">
        <f t="shared" si="25"/>
        <v>979.99999999999989</v>
      </c>
      <c r="E47" s="32">
        <f t="shared" si="26"/>
        <v>0.97999999999999987</v>
      </c>
      <c r="F47" s="215">
        <f>('[1]1'!AM53+'[1]2'!AM53+'[1]3'!AM53)/3</f>
        <v>0</v>
      </c>
      <c r="G47" s="215">
        <f>('[1]1'!AN53+'[1]2'!AN53+'[1]3'!AN53)/3</f>
        <v>0</v>
      </c>
      <c r="H47" s="215">
        <f>('[1]1'!AO53+'[1]2'!AO53+'[1]3'!AO53)/3</f>
        <v>0</v>
      </c>
      <c r="I47" s="215">
        <f t="shared" si="22"/>
        <v>0</v>
      </c>
      <c r="J47" s="216">
        <f t="shared" si="23"/>
        <v>168</v>
      </c>
      <c r="K47" s="217">
        <v>0</v>
      </c>
      <c r="L47" s="214">
        <f t="shared" si="15"/>
        <v>168</v>
      </c>
      <c r="M47" s="202">
        <f t="shared" ref="M47:M72" si="27">L47/E47</f>
        <v>171.42857142857144</v>
      </c>
      <c r="N47" s="202">
        <f t="shared" si="24"/>
        <v>0.48</v>
      </c>
      <c r="O47" s="218">
        <f>'[1]1'!F53+'[1]2'!F53+'[1]3'!F53</f>
        <v>0</v>
      </c>
      <c r="P47" s="218">
        <f>'[1]1'!AA53+'[1]2'!AA53+'[1]3'!AA53</f>
        <v>0</v>
      </c>
      <c r="Q47" s="219" t="e">
        <f>O47/P47</f>
        <v>#DIV/0!</v>
      </c>
      <c r="R47" s="220">
        <f>1+0.6</f>
        <v>1.6</v>
      </c>
      <c r="S47" s="221">
        <f t="shared" si="20"/>
        <v>1.6326530612244901E-3</v>
      </c>
      <c r="T47" s="220">
        <f>(2+2+2+2.04)*11</f>
        <v>88.44</v>
      </c>
      <c r="U47" s="222">
        <f>'[1]1'!AR53+'[1]2'!AR53+'[1]3'!AR53</f>
        <v>0</v>
      </c>
      <c r="V47" s="222" t="e">
        <f t="shared" si="21"/>
        <v>#DIV/0!</v>
      </c>
      <c r="W47" s="223" t="s">
        <v>83</v>
      </c>
      <c r="X47" s="223" t="s">
        <v>83</v>
      </c>
      <c r="Y47" s="218">
        <v>21</v>
      </c>
      <c r="Z47" s="223">
        <v>3</v>
      </c>
      <c r="AA47" s="223" t="s">
        <v>83</v>
      </c>
      <c r="AB47" s="218">
        <v>21</v>
      </c>
      <c r="AC47" s="220">
        <v>5657.4</v>
      </c>
      <c r="AD47" s="223">
        <v>5</v>
      </c>
      <c r="AE47" s="224">
        <f t="shared" si="17"/>
        <v>96</v>
      </c>
      <c r="AF47" s="223">
        <v>56</v>
      </c>
      <c r="AG47" s="222">
        <f t="shared" si="18"/>
        <v>152</v>
      </c>
      <c r="AH47" s="222">
        <f t="shared" si="19"/>
        <v>471.45</v>
      </c>
      <c r="AI47" s="223">
        <f>13*60*5</f>
        <v>3900</v>
      </c>
      <c r="AJ47" s="223">
        <v>120</v>
      </c>
      <c r="AK47" s="220">
        <v>262.75</v>
      </c>
      <c r="AL47" s="220">
        <v>26.6</v>
      </c>
      <c r="AM47" s="247">
        <v>30</v>
      </c>
      <c r="AN47" s="223" t="s">
        <v>83</v>
      </c>
      <c r="AO47" s="223">
        <v>12</v>
      </c>
      <c r="AP47" s="223" t="s">
        <v>83</v>
      </c>
      <c r="AQ47" s="223" t="s">
        <v>83</v>
      </c>
      <c r="AR47" s="225">
        <v>12</v>
      </c>
      <c r="AS47" s="226"/>
      <c r="AT47" s="227"/>
      <c r="AU47" s="227"/>
      <c r="AV47" s="227"/>
      <c r="AW47" s="228"/>
    </row>
    <row r="48" spans="1:49" ht="26.25">
      <c r="A48" s="212">
        <v>7</v>
      </c>
      <c r="B48" s="213">
        <v>350</v>
      </c>
      <c r="C48" s="214">
        <v>350</v>
      </c>
      <c r="D48" s="32">
        <f t="shared" si="25"/>
        <v>979.99999999999989</v>
      </c>
      <c r="E48" s="32">
        <f t="shared" si="26"/>
        <v>0.97999999999999987</v>
      </c>
      <c r="F48" s="215">
        <f>('[1]1'!AM54+'[1]2'!AM54+'[1]3'!AM54)/3</f>
        <v>0</v>
      </c>
      <c r="G48" s="215">
        <f>('[1]1'!AN54+'[1]2'!AN54+'[1]3'!AN54)/3</f>
        <v>0</v>
      </c>
      <c r="H48" s="215">
        <f>('[1]1'!AO54+'[1]2'!AO54+'[1]3'!AO54)/3</f>
        <v>0</v>
      </c>
      <c r="I48" s="215">
        <f t="shared" si="22"/>
        <v>0</v>
      </c>
      <c r="J48" s="216">
        <f t="shared" si="23"/>
        <v>168</v>
      </c>
      <c r="K48" s="217">
        <v>0</v>
      </c>
      <c r="L48" s="214">
        <f t="shared" si="15"/>
        <v>168</v>
      </c>
      <c r="M48" s="202">
        <f t="shared" si="27"/>
        <v>171.42857142857144</v>
      </c>
      <c r="N48" s="202">
        <f t="shared" si="24"/>
        <v>0.48</v>
      </c>
      <c r="O48" s="218">
        <f>'[1]1'!F54+'[1]2'!F54+'[1]3'!F54</f>
        <v>0</v>
      </c>
      <c r="P48" s="218">
        <f>'[1]1'!AA54+'[1]2'!AA54+'[1]3'!AA54</f>
        <v>0</v>
      </c>
      <c r="Q48" s="219" t="e">
        <f>O48/P48</f>
        <v>#DIV/0!</v>
      </c>
      <c r="R48" s="220">
        <f>1.4+0.2</f>
        <v>1.5999999999999999</v>
      </c>
      <c r="S48" s="221">
        <f t="shared" si="20"/>
        <v>1.6326530612244899E-3</v>
      </c>
      <c r="T48" s="220">
        <f>(2+2+2+1.4)*11</f>
        <v>81.400000000000006</v>
      </c>
      <c r="U48" s="222">
        <f>'[1]1'!AR54+'[1]2'!AR54+'[1]3'!AR54</f>
        <v>0</v>
      </c>
      <c r="V48" s="222" t="e">
        <f t="shared" si="21"/>
        <v>#DIV/0!</v>
      </c>
      <c r="W48" s="223" t="s">
        <v>83</v>
      </c>
      <c r="X48" s="223" t="s">
        <v>83</v>
      </c>
      <c r="Y48" s="218">
        <v>21</v>
      </c>
      <c r="Z48" s="223">
        <v>2</v>
      </c>
      <c r="AA48" s="223" t="s">
        <v>83</v>
      </c>
      <c r="AB48" s="218">
        <v>21</v>
      </c>
      <c r="AC48" s="220">
        <v>793.8</v>
      </c>
      <c r="AD48" s="223">
        <v>3</v>
      </c>
      <c r="AE48" s="224">
        <f t="shared" si="17"/>
        <v>96</v>
      </c>
      <c r="AF48" s="223">
        <v>0</v>
      </c>
      <c r="AG48" s="222">
        <f t="shared" si="18"/>
        <v>96</v>
      </c>
      <c r="AH48" s="222">
        <f t="shared" si="19"/>
        <v>66.149999999999991</v>
      </c>
      <c r="AI48" s="223">
        <f>3*60*3</f>
        <v>540</v>
      </c>
      <c r="AJ48" s="223" t="s">
        <v>83</v>
      </c>
      <c r="AK48" s="220">
        <v>35.200000000000003</v>
      </c>
      <c r="AL48" s="220">
        <v>3.5</v>
      </c>
      <c r="AM48" s="247">
        <v>6</v>
      </c>
      <c r="AN48" s="223" t="s">
        <v>83</v>
      </c>
      <c r="AO48" s="223">
        <v>12</v>
      </c>
      <c r="AP48" s="223" t="s">
        <v>83</v>
      </c>
      <c r="AQ48" s="223" t="s">
        <v>83</v>
      </c>
      <c r="AR48" s="225">
        <v>12</v>
      </c>
      <c r="AS48" s="226"/>
      <c r="AT48" s="227"/>
      <c r="AU48" s="227"/>
      <c r="AV48" s="227"/>
      <c r="AW48" s="228"/>
    </row>
    <row r="49" spans="1:49" ht="26.25">
      <c r="A49" s="212">
        <v>8</v>
      </c>
      <c r="B49" s="213">
        <v>700</v>
      </c>
      <c r="C49" s="214">
        <f>420+280</f>
        <v>700</v>
      </c>
      <c r="D49" s="32">
        <f t="shared" si="25"/>
        <v>1959.9999999999998</v>
      </c>
      <c r="E49" s="32">
        <f t="shared" si="26"/>
        <v>1.9599999999999997</v>
      </c>
      <c r="F49" s="215">
        <f>('[1]1'!AM55+'[1]2'!AM55+'[1]3'!AM55)/3</f>
        <v>0</v>
      </c>
      <c r="G49" s="215">
        <f>('[1]1'!AN55+'[1]2'!AN55+'[1]3'!AN55)/3</f>
        <v>0</v>
      </c>
      <c r="H49" s="215">
        <f>('[1]1'!AO55+'[1]2'!AO55+'[1]3'!AO55)/3</f>
        <v>0</v>
      </c>
      <c r="I49" s="215">
        <f>(F49*G49*H49)/10000</f>
        <v>0</v>
      </c>
      <c r="J49" s="216">
        <f t="shared" si="23"/>
        <v>176</v>
      </c>
      <c r="K49" s="217">
        <v>102.4</v>
      </c>
      <c r="L49" s="214">
        <f t="shared" si="15"/>
        <v>278.39999999999998</v>
      </c>
      <c r="M49" s="202">
        <f t="shared" si="27"/>
        <v>142.04081632653063</v>
      </c>
      <c r="N49" s="202">
        <f t="shared" si="24"/>
        <v>0.39771428571428569</v>
      </c>
      <c r="O49" s="218">
        <f>'[1]1'!F55+'[1]2'!F55+'[1]3'!F55</f>
        <v>0</v>
      </c>
      <c r="P49" s="218">
        <f>'[1]1'!AA55+'[1]2'!AA55+'[1]3'!AA55</f>
        <v>0</v>
      </c>
      <c r="Q49" s="219" t="e">
        <f t="shared" si="16"/>
        <v>#DIV/0!</v>
      </c>
      <c r="R49" s="248">
        <f>1.2+1.3+0.6</f>
        <v>3.1</v>
      </c>
      <c r="S49" s="221">
        <f t="shared" si="20"/>
        <v>1.5816326530612248E-3</v>
      </c>
      <c r="T49" s="248">
        <f>(4+5+5+0.9)*11</f>
        <v>163.9</v>
      </c>
      <c r="U49" s="222">
        <f>'[1]1'!AR55+'[1]2'!AR55+'[1]3'!AR55</f>
        <v>0</v>
      </c>
      <c r="V49" s="222" t="e">
        <f t="shared" si="21"/>
        <v>#DIV/0!</v>
      </c>
      <c r="W49" s="214">
        <v>0</v>
      </c>
      <c r="X49" s="214">
        <v>0</v>
      </c>
      <c r="Y49" s="249">
        <v>22</v>
      </c>
      <c r="Z49" s="249">
        <v>2</v>
      </c>
      <c r="AA49" s="214">
        <v>0</v>
      </c>
      <c r="AB49" s="218">
        <v>21</v>
      </c>
      <c r="AC49" s="248">
        <v>4896.6000000000004</v>
      </c>
      <c r="AD49" s="249">
        <v>5</v>
      </c>
      <c r="AE49" s="224">
        <f t="shared" si="17"/>
        <v>96</v>
      </c>
      <c r="AF49" s="250">
        <v>29.2</v>
      </c>
      <c r="AG49" s="222">
        <f t="shared" si="18"/>
        <v>125.2</v>
      </c>
      <c r="AH49" s="251">
        <f t="shared" si="19"/>
        <v>408.05</v>
      </c>
      <c r="AI49" s="249">
        <f>12*60*5</f>
        <v>3600</v>
      </c>
      <c r="AJ49" s="249" t="s">
        <v>83</v>
      </c>
      <c r="AK49" s="248">
        <v>245.15</v>
      </c>
      <c r="AL49" s="248">
        <v>22.1</v>
      </c>
      <c r="AM49" s="252">
        <v>36</v>
      </c>
      <c r="AN49" s="214" t="s">
        <v>83</v>
      </c>
      <c r="AO49" s="249">
        <v>12</v>
      </c>
      <c r="AP49" s="249" t="s">
        <v>83</v>
      </c>
      <c r="AQ49" s="214" t="s">
        <v>83</v>
      </c>
      <c r="AR49" s="253">
        <v>12</v>
      </c>
      <c r="AS49" s="226"/>
      <c r="AT49" s="227"/>
      <c r="AU49" s="227"/>
      <c r="AV49" s="227"/>
      <c r="AW49" s="228"/>
    </row>
    <row r="50" spans="1:49" ht="26.25">
      <c r="A50" s="212">
        <v>9</v>
      </c>
      <c r="B50" s="213">
        <v>700</v>
      </c>
      <c r="C50" s="214">
        <f>140+70+420</f>
        <v>630</v>
      </c>
      <c r="D50" s="32">
        <f t="shared" si="25"/>
        <v>1764</v>
      </c>
      <c r="E50" s="32">
        <f t="shared" si="26"/>
        <v>1.764</v>
      </c>
      <c r="F50" s="215">
        <f>('[1]1'!AM56+'[1]2'!AM56+'[1]3'!AM56)/3</f>
        <v>0</v>
      </c>
      <c r="G50" s="215">
        <f>('[1]1'!AN56+'[1]2'!AN56+'[1]3'!AN56)/3</f>
        <v>0</v>
      </c>
      <c r="H50" s="215">
        <f>('[1]1'!AO56+'[1]2'!AO56+'[1]3'!AO56)/3</f>
        <v>0</v>
      </c>
      <c r="I50" s="215">
        <f t="shared" si="22"/>
        <v>0</v>
      </c>
      <c r="J50" s="216">
        <f t="shared" si="23"/>
        <v>168</v>
      </c>
      <c r="K50" s="217">
        <v>98</v>
      </c>
      <c r="L50" s="214">
        <f t="shared" si="15"/>
        <v>266</v>
      </c>
      <c r="M50" s="202">
        <f t="shared" si="27"/>
        <v>150.79365079365078</v>
      </c>
      <c r="N50" s="202">
        <f t="shared" si="24"/>
        <v>0.42222222222222222</v>
      </c>
      <c r="O50" s="218">
        <f>'[1]1'!F56+'[1]2'!F56+'[1]3'!F56</f>
        <v>0</v>
      </c>
      <c r="P50" s="218">
        <f>'[1]1'!AA56+'[1]2'!AA56+'[1]3'!AA56</f>
        <v>0</v>
      </c>
      <c r="Q50" s="219" t="e">
        <f t="shared" si="16"/>
        <v>#DIV/0!</v>
      </c>
      <c r="R50" s="220">
        <f>0.9+2+2.1+0.1</f>
        <v>5.0999999999999996</v>
      </c>
      <c r="S50" s="221">
        <f t="shared" si="20"/>
        <v>2.8911564625850338E-3</v>
      </c>
      <c r="T50" s="220">
        <f>(3+5+6+2.63)*11</f>
        <v>182.92999999999998</v>
      </c>
      <c r="U50" s="222">
        <f>'[1]1'!AR56+'[1]2'!AR56+'[1]3'!AR56</f>
        <v>0</v>
      </c>
      <c r="V50" s="222" t="e">
        <f t="shared" si="21"/>
        <v>#DIV/0!</v>
      </c>
      <c r="W50" s="223" t="s">
        <v>83</v>
      </c>
      <c r="X50" s="223" t="s">
        <v>83</v>
      </c>
      <c r="Y50" s="218">
        <v>21</v>
      </c>
      <c r="Z50" s="223">
        <v>1</v>
      </c>
      <c r="AA50" s="223" t="s">
        <v>83</v>
      </c>
      <c r="AB50" s="218">
        <v>21</v>
      </c>
      <c r="AC50" s="220">
        <v>5292</v>
      </c>
      <c r="AD50" s="223">
        <v>5</v>
      </c>
      <c r="AE50" s="224">
        <f t="shared" si="17"/>
        <v>96</v>
      </c>
      <c r="AF50" s="220">
        <v>56</v>
      </c>
      <c r="AG50" s="222">
        <f t="shared" si="18"/>
        <v>152</v>
      </c>
      <c r="AH50" s="222">
        <f t="shared" si="19"/>
        <v>441</v>
      </c>
      <c r="AI50" s="223">
        <f>12*60*5</f>
        <v>3600</v>
      </c>
      <c r="AJ50" s="223" t="s">
        <v>83</v>
      </c>
      <c r="AK50" s="220">
        <v>251.55</v>
      </c>
      <c r="AL50" s="220">
        <v>18.7</v>
      </c>
      <c r="AM50" s="247">
        <v>36</v>
      </c>
      <c r="AN50" s="223" t="s">
        <v>83</v>
      </c>
      <c r="AO50" s="223">
        <v>12</v>
      </c>
      <c r="AP50" s="223" t="s">
        <v>83</v>
      </c>
      <c r="AQ50" s="223" t="s">
        <v>83</v>
      </c>
      <c r="AR50" s="225">
        <v>12</v>
      </c>
      <c r="AS50" s="226"/>
      <c r="AT50" s="227"/>
      <c r="AU50" s="227"/>
      <c r="AV50" s="227"/>
      <c r="AW50" s="228"/>
    </row>
    <row r="51" spans="1:49" ht="26.25">
      <c r="A51" s="212">
        <v>10</v>
      </c>
      <c r="B51" s="213">
        <v>700</v>
      </c>
      <c r="C51" s="32">
        <f>420+350</f>
        <v>770</v>
      </c>
      <c r="D51" s="32">
        <f t="shared" si="25"/>
        <v>2156</v>
      </c>
      <c r="E51" s="32">
        <f t="shared" si="26"/>
        <v>2.1560000000000001</v>
      </c>
      <c r="F51" s="215">
        <f>('[1]1'!AM57+'[1]2'!AM57+'[1]3'!AM57)/3</f>
        <v>0</v>
      </c>
      <c r="G51" s="215">
        <f>('[1]1'!AN57+'[1]2'!AN57+'[1]3'!AN57)/3</f>
        <v>0</v>
      </c>
      <c r="H51" s="215">
        <f>('[1]1'!AO57+'[1]2'!AO57+'[1]3'!AO57)/3</f>
        <v>0</v>
      </c>
      <c r="I51" s="215">
        <f t="shared" si="22"/>
        <v>0</v>
      </c>
      <c r="J51" s="216">
        <f t="shared" si="23"/>
        <v>168</v>
      </c>
      <c r="K51" s="217">
        <v>98</v>
      </c>
      <c r="L51" s="32">
        <f t="shared" si="15"/>
        <v>266</v>
      </c>
      <c r="M51" s="202">
        <f t="shared" si="27"/>
        <v>123.37662337662337</v>
      </c>
      <c r="N51" s="202">
        <f t="shared" si="24"/>
        <v>0.34545454545454546</v>
      </c>
      <c r="O51" s="218">
        <f>'[1]1'!F57+'[1]2'!F57+'[1]3'!F57</f>
        <v>0</v>
      </c>
      <c r="P51" s="218">
        <f>'[1]1'!AA57+'[1]2'!AA57+'[1]3'!AA57</f>
        <v>0</v>
      </c>
      <c r="Q51" s="219" t="e">
        <f t="shared" si="16"/>
        <v>#DIV/0!</v>
      </c>
      <c r="R51" s="222">
        <f>1.5+1.5+0.8</f>
        <v>3.8</v>
      </c>
      <c r="S51" s="254">
        <f t="shared" si="20"/>
        <v>1.7625231910946195E-3</v>
      </c>
      <c r="T51" s="222">
        <f>(6.6+9.2)*11</f>
        <v>173.79999999999998</v>
      </c>
      <c r="U51" s="222">
        <f>'[1]1'!AR57+'[1]2'!AR57+'[1]3'!AR57</f>
        <v>0</v>
      </c>
      <c r="V51" s="222" t="e">
        <f t="shared" si="21"/>
        <v>#DIV/0!</v>
      </c>
      <c r="W51" s="255">
        <v>3.4</v>
      </c>
      <c r="X51" s="223" t="s">
        <v>83</v>
      </c>
      <c r="Y51" s="218">
        <f>15+2+4</f>
        <v>21</v>
      </c>
      <c r="Z51" s="218" t="s">
        <v>83</v>
      </c>
      <c r="AA51" s="218" t="s">
        <v>83</v>
      </c>
      <c r="AB51" s="218">
        <v>21</v>
      </c>
      <c r="AC51" s="222">
        <f>4282.4+1146.6</f>
        <v>5429</v>
      </c>
      <c r="AD51" s="218">
        <v>5</v>
      </c>
      <c r="AE51" s="224">
        <f t="shared" si="17"/>
        <v>96</v>
      </c>
      <c r="AF51" s="218">
        <v>56</v>
      </c>
      <c r="AG51" s="222">
        <f t="shared" si="18"/>
        <v>152</v>
      </c>
      <c r="AH51" s="222">
        <f t="shared" si="19"/>
        <v>452.41666666666669</v>
      </c>
      <c r="AI51" s="218">
        <f>13*60*5</f>
        <v>3900</v>
      </c>
      <c r="AJ51" s="218" t="s">
        <v>83</v>
      </c>
      <c r="AK51" s="222">
        <v>222.65</v>
      </c>
      <c r="AL51" s="222">
        <f>22.2+4.3</f>
        <v>26.5</v>
      </c>
      <c r="AM51" s="256">
        <f>24+8</f>
        <v>32</v>
      </c>
      <c r="AN51" s="218" t="s">
        <v>83</v>
      </c>
      <c r="AO51" s="218">
        <v>12</v>
      </c>
      <c r="AP51" s="218" t="s">
        <v>83</v>
      </c>
      <c r="AQ51" s="218" t="s">
        <v>83</v>
      </c>
      <c r="AR51" s="257">
        <v>12</v>
      </c>
      <c r="AS51" s="226"/>
      <c r="AT51" s="227"/>
      <c r="AU51" s="227"/>
      <c r="AV51" s="227"/>
      <c r="AW51" s="228"/>
    </row>
    <row r="52" spans="1:49" ht="26.25">
      <c r="A52" s="212">
        <v>11</v>
      </c>
      <c r="B52" s="213">
        <v>280</v>
      </c>
      <c r="C52" s="32">
        <f>140+140</f>
        <v>280</v>
      </c>
      <c r="D52" s="32">
        <f t="shared" si="25"/>
        <v>784</v>
      </c>
      <c r="E52" s="32">
        <f t="shared" si="26"/>
        <v>0.78400000000000003</v>
      </c>
      <c r="F52" s="215">
        <f>('[1]2'!AM58)/1</f>
        <v>0</v>
      </c>
      <c r="G52" s="215">
        <f>('[1]2'!AN58)/1</f>
        <v>0</v>
      </c>
      <c r="H52" s="215">
        <f>('[1]2'!AO58)/1</f>
        <v>0</v>
      </c>
      <c r="I52" s="215">
        <f>('[1]2'!AP58)/1</f>
        <v>0</v>
      </c>
      <c r="J52" s="216">
        <f t="shared" si="23"/>
        <v>128</v>
      </c>
      <c r="K52" s="217">
        <v>0</v>
      </c>
      <c r="L52" s="32">
        <f t="shared" si="15"/>
        <v>128</v>
      </c>
      <c r="M52" s="202">
        <f t="shared" si="27"/>
        <v>163.26530612244898</v>
      </c>
      <c r="N52" s="202">
        <f t="shared" si="24"/>
        <v>0.45714285714285713</v>
      </c>
      <c r="O52" s="218">
        <f>'[1]1'!F58+'[1]2'!F58+'[1]3'!F58</f>
        <v>0</v>
      </c>
      <c r="P52" s="218">
        <f>'[1]1'!AA58+'[1]2'!AA58+'[1]3'!AA58</f>
        <v>0</v>
      </c>
      <c r="Q52" s="219" t="e">
        <f t="shared" si="16"/>
        <v>#DIV/0!</v>
      </c>
      <c r="R52" s="222">
        <f>0.5+0.2</f>
        <v>0.7</v>
      </c>
      <c r="S52" s="254">
        <f t="shared" si="20"/>
        <v>8.9285714285714283E-4</v>
      </c>
      <c r="T52" s="222">
        <f>(2.3+1.6)*11</f>
        <v>42.9</v>
      </c>
      <c r="U52" s="222">
        <f>'[1]1'!AR58+'[1]2'!AR58+'[1]3'!AR58</f>
        <v>0</v>
      </c>
      <c r="V52" s="222" t="e">
        <f t="shared" si="21"/>
        <v>#DIV/0!</v>
      </c>
      <c r="W52" s="255">
        <v>8.8000000000000007</v>
      </c>
      <c r="X52" s="255">
        <v>1.7</v>
      </c>
      <c r="Y52" s="218">
        <f>10+2+4</f>
        <v>16</v>
      </c>
      <c r="Z52" s="218" t="s">
        <v>83</v>
      </c>
      <c r="AA52" s="222" t="s">
        <v>83</v>
      </c>
      <c r="AB52" s="218">
        <v>21</v>
      </c>
      <c r="AC52" s="222">
        <v>2836.2</v>
      </c>
      <c r="AD52" s="218">
        <v>5</v>
      </c>
      <c r="AE52" s="224">
        <f t="shared" si="17"/>
        <v>96</v>
      </c>
      <c r="AF52" s="222">
        <v>0</v>
      </c>
      <c r="AG52" s="222">
        <f t="shared" si="18"/>
        <v>96</v>
      </c>
      <c r="AH52" s="222">
        <f t="shared" si="19"/>
        <v>236.35</v>
      </c>
      <c r="AI52" s="218">
        <f>8*60*5</f>
        <v>2400</v>
      </c>
      <c r="AJ52" s="218">
        <v>120</v>
      </c>
      <c r="AK52" s="222">
        <v>157.65</v>
      </c>
      <c r="AL52" s="222">
        <v>21</v>
      </c>
      <c r="AM52" s="258">
        <v>30</v>
      </c>
      <c r="AN52" s="222" t="s">
        <v>83</v>
      </c>
      <c r="AO52" s="218">
        <v>12</v>
      </c>
      <c r="AP52" s="218" t="s">
        <v>83</v>
      </c>
      <c r="AQ52" s="222" t="s">
        <v>83</v>
      </c>
      <c r="AR52" s="257">
        <v>12</v>
      </c>
      <c r="AS52" s="226"/>
      <c r="AT52" s="227"/>
      <c r="AU52" s="227"/>
      <c r="AV52" s="227"/>
      <c r="AW52" s="228"/>
    </row>
    <row r="53" spans="1:49" ht="26.25">
      <c r="A53" s="229">
        <v>12</v>
      </c>
      <c r="B53" s="230"/>
      <c r="C53" s="232"/>
      <c r="D53" s="232">
        <f t="shared" si="25"/>
        <v>0</v>
      </c>
      <c r="E53" s="232">
        <f t="shared" si="26"/>
        <v>0</v>
      </c>
      <c r="F53" s="233"/>
      <c r="G53" s="233"/>
      <c r="H53" s="233"/>
      <c r="I53" s="233"/>
      <c r="J53" s="234">
        <f t="shared" si="23"/>
        <v>0</v>
      </c>
      <c r="K53" s="259"/>
      <c r="L53" s="232">
        <f t="shared" si="15"/>
        <v>0</v>
      </c>
      <c r="M53" s="202"/>
      <c r="N53" s="202"/>
      <c r="O53" s="236">
        <f>'[1]1'!F59+'[1]2'!F59+'[1]3'!F59</f>
        <v>0</v>
      </c>
      <c r="P53" s="236">
        <f>'[1]1'!AA59+'[1]2'!AA59+'[1]3'!AA59</f>
        <v>0</v>
      </c>
      <c r="Q53" s="237" t="e">
        <f t="shared" si="16"/>
        <v>#DIV/0!</v>
      </c>
      <c r="R53" s="240"/>
      <c r="S53" s="260" t="e">
        <f t="shared" si="20"/>
        <v>#DIV/0!</v>
      </c>
      <c r="T53" s="240"/>
      <c r="U53" s="240">
        <f>'[1]1'!AR59+'[1]2'!AR59+'[1]3'!AR59</f>
        <v>0</v>
      </c>
      <c r="V53" s="240" t="e">
        <f t="shared" si="21"/>
        <v>#DIV/0!</v>
      </c>
      <c r="W53" s="241" t="s">
        <v>83</v>
      </c>
      <c r="X53" s="241" t="s">
        <v>83</v>
      </c>
      <c r="Y53" s="236"/>
      <c r="Z53" s="236" t="s">
        <v>83</v>
      </c>
      <c r="AA53" s="240" t="s">
        <v>83</v>
      </c>
      <c r="AB53" s="236">
        <v>0</v>
      </c>
      <c r="AC53" s="240"/>
      <c r="AD53" s="236"/>
      <c r="AE53" s="242">
        <f t="shared" si="17"/>
        <v>0</v>
      </c>
      <c r="AF53" s="240"/>
      <c r="AG53" s="240">
        <f t="shared" si="18"/>
        <v>0</v>
      </c>
      <c r="AH53" s="240" t="e">
        <f t="shared" si="19"/>
        <v>#DIV/0!</v>
      </c>
      <c r="AI53" s="236"/>
      <c r="AJ53" s="236"/>
      <c r="AK53" s="240"/>
      <c r="AL53" s="240"/>
      <c r="AM53" s="240"/>
      <c r="AN53" s="240" t="s">
        <v>83</v>
      </c>
      <c r="AO53" s="236"/>
      <c r="AP53" s="236" t="s">
        <v>83</v>
      </c>
      <c r="AQ53" s="240" t="s">
        <v>83</v>
      </c>
      <c r="AR53" s="261">
        <v>12</v>
      </c>
      <c r="AS53" s="244"/>
      <c r="AT53" s="245"/>
      <c r="AU53" s="245"/>
      <c r="AV53" s="245"/>
      <c r="AW53" s="246"/>
    </row>
    <row r="54" spans="1:49" ht="26.25">
      <c r="A54" s="212">
        <v>13</v>
      </c>
      <c r="B54" s="213">
        <v>1200</v>
      </c>
      <c r="C54" s="32">
        <f>280+70+200+254</f>
        <v>804</v>
      </c>
      <c r="D54" s="32">
        <f>(+C54*2.8)</f>
        <v>2251.1999999999998</v>
      </c>
      <c r="E54" s="32">
        <f t="shared" si="26"/>
        <v>2.2511999999999999</v>
      </c>
      <c r="F54" s="215">
        <f>('[1]1'!AM60+'[1]2'!AM60+'[1]3'!AM60)/3</f>
        <v>0</v>
      </c>
      <c r="G54" s="215">
        <f>('[1]1'!AN60+'[1]2'!AN60+'[1]3'!AN60)/3</f>
        <v>0</v>
      </c>
      <c r="H54" s="215">
        <f>('[1]1'!AO60+'[1]2'!AO60+'[1]3'!AO60)/3</f>
        <v>0</v>
      </c>
      <c r="I54" s="215">
        <f t="shared" si="22"/>
        <v>0</v>
      </c>
      <c r="J54" s="216">
        <f t="shared" si="23"/>
        <v>168</v>
      </c>
      <c r="K54" s="217">
        <v>98</v>
      </c>
      <c r="L54" s="32">
        <f t="shared" si="15"/>
        <v>266</v>
      </c>
      <c r="M54" s="262">
        <f t="shared" si="27"/>
        <v>118.15920398009951</v>
      </c>
      <c r="N54" s="202">
        <f t="shared" si="24"/>
        <v>0.3308457711442786</v>
      </c>
      <c r="O54" s="218">
        <f>'[1]1'!F60+'[1]2'!F60+'[1]3'!F60</f>
        <v>0</v>
      </c>
      <c r="P54" s="218">
        <f>'[1]1'!AA60+'[1]2'!AA60+'[1]3'!AA60</f>
        <v>0</v>
      </c>
      <c r="Q54" s="219" t="e">
        <f t="shared" si="16"/>
        <v>#DIV/0!</v>
      </c>
      <c r="R54" s="222">
        <f>1.1+1+0.2+0.2+0.2+0.1</f>
        <v>2.8000000000000007</v>
      </c>
      <c r="S54" s="254">
        <f t="shared" si="20"/>
        <v>1.2437810945273636E-3</v>
      </c>
      <c r="T54" s="222">
        <f>((6.9+1.6)*11)+((0.8+3.2)*17.4)</f>
        <v>163.1</v>
      </c>
      <c r="U54" s="222">
        <f>'[1]1'!AR60+'[1]2'!AR60+'[1]3'!AR60</f>
        <v>0</v>
      </c>
      <c r="V54" s="222" t="e">
        <f t="shared" si="21"/>
        <v>#DIV/0!</v>
      </c>
      <c r="W54" s="223" t="s">
        <v>83</v>
      </c>
      <c r="X54" s="223" t="s">
        <v>83</v>
      </c>
      <c r="Y54" s="218">
        <f>15+2+4</f>
        <v>21</v>
      </c>
      <c r="Z54" s="218" t="s">
        <v>83</v>
      </c>
      <c r="AA54" s="222" t="s">
        <v>83</v>
      </c>
      <c r="AB54" s="218">
        <v>21</v>
      </c>
      <c r="AC54" s="222">
        <v>4346.3999999999996</v>
      </c>
      <c r="AD54" s="218">
        <v>5</v>
      </c>
      <c r="AE54" s="224">
        <f t="shared" si="17"/>
        <v>96</v>
      </c>
      <c r="AF54" s="222">
        <v>56</v>
      </c>
      <c r="AG54" s="222">
        <f t="shared" si="18"/>
        <v>152</v>
      </c>
      <c r="AH54" s="222">
        <f t="shared" si="19"/>
        <v>362.2</v>
      </c>
      <c r="AI54" s="218">
        <f>13*60*5</f>
        <v>3900</v>
      </c>
      <c r="AJ54" s="218" t="s">
        <v>83</v>
      </c>
      <c r="AK54" s="222">
        <v>249.4</v>
      </c>
      <c r="AL54" s="222">
        <v>32.1</v>
      </c>
      <c r="AM54" s="222">
        <v>36</v>
      </c>
      <c r="AN54" s="222" t="s">
        <v>83</v>
      </c>
      <c r="AO54" s="218">
        <v>12</v>
      </c>
      <c r="AP54" s="218" t="s">
        <v>83</v>
      </c>
      <c r="AQ54" s="222" t="s">
        <v>83</v>
      </c>
      <c r="AR54" s="257">
        <v>12</v>
      </c>
      <c r="AS54" s="226"/>
      <c r="AT54" s="227"/>
      <c r="AU54" s="227"/>
      <c r="AV54" s="227"/>
      <c r="AW54" s="228"/>
    </row>
    <row r="55" spans="1:49" ht="26.25">
      <c r="A55" s="212">
        <v>14</v>
      </c>
      <c r="B55" s="213">
        <v>1420</v>
      </c>
      <c r="C55" s="32">
        <f>200+100+300+400+350</f>
        <v>1350</v>
      </c>
      <c r="D55" s="32">
        <f>+C55*2.8</f>
        <v>3779.9999999999995</v>
      </c>
      <c r="E55" s="32">
        <f t="shared" si="26"/>
        <v>3.7799999999999994</v>
      </c>
      <c r="F55" s="215">
        <f>('[1]1'!AM61+'[1]2'!AM61+'[1]3'!AM61)/3</f>
        <v>0</v>
      </c>
      <c r="G55" s="215">
        <f>('[1]1'!AN61+'[1]2'!AN61+'[1]3'!AN61)/3</f>
        <v>0</v>
      </c>
      <c r="H55" s="215">
        <f>('[1]1'!AO61+'[1]2'!AO61+'[1]3'!AO61)/3</f>
        <v>0</v>
      </c>
      <c r="I55" s="215">
        <f t="shared" si="22"/>
        <v>0</v>
      </c>
      <c r="J55" s="216">
        <f t="shared" si="23"/>
        <v>152</v>
      </c>
      <c r="K55" s="217">
        <v>88.4</v>
      </c>
      <c r="L55" s="32">
        <f t="shared" si="15"/>
        <v>240.4</v>
      </c>
      <c r="M55" s="262">
        <f t="shared" si="27"/>
        <v>63.597883597883609</v>
      </c>
      <c r="N55" s="202">
        <f t="shared" si="24"/>
        <v>0.17807407407407408</v>
      </c>
      <c r="O55" s="218">
        <f>'[1]1'!F61+'[1]2'!F61+'[1]3'!F61</f>
        <v>0</v>
      </c>
      <c r="P55" s="218">
        <f>'[1]1'!AA61+'[1]2'!AA61+'[1]3'!AA61</f>
        <v>0</v>
      </c>
      <c r="Q55" s="219" t="e">
        <f t="shared" si="16"/>
        <v>#DIV/0!</v>
      </c>
      <c r="R55" s="222">
        <v>2.2000000000000002</v>
      </c>
      <c r="S55" s="254">
        <f t="shared" si="20"/>
        <v>5.8201058201058208E-4</v>
      </c>
      <c r="T55" s="222">
        <f>(7.9*11)+((1.06+0.8+1.8+2.1)*17.4)</f>
        <v>187.124</v>
      </c>
      <c r="U55" s="222">
        <f>'[1]1'!AR61+'[1]2'!AR61+'[1]3'!AR61</f>
        <v>0</v>
      </c>
      <c r="V55" s="222" t="e">
        <f t="shared" si="21"/>
        <v>#DIV/0!</v>
      </c>
      <c r="W55" s="223">
        <v>9</v>
      </c>
      <c r="X55" s="223" t="s">
        <v>83</v>
      </c>
      <c r="Y55" s="218">
        <f>15+2+2</f>
        <v>19</v>
      </c>
      <c r="Z55" s="218">
        <v>2</v>
      </c>
      <c r="AA55" s="222" t="s">
        <v>83</v>
      </c>
      <c r="AB55" s="218">
        <v>21</v>
      </c>
      <c r="AC55" s="222">
        <v>1818</v>
      </c>
      <c r="AD55" s="218">
        <v>4</v>
      </c>
      <c r="AE55" s="224">
        <f t="shared" si="17"/>
        <v>96</v>
      </c>
      <c r="AF55" s="222">
        <v>0</v>
      </c>
      <c r="AG55" s="222">
        <f t="shared" si="18"/>
        <v>96</v>
      </c>
      <c r="AH55" s="222">
        <f>AC55/AO55</f>
        <v>151.5</v>
      </c>
      <c r="AI55" s="218">
        <f>5*60*4</f>
        <v>1200</v>
      </c>
      <c r="AJ55" s="218" t="s">
        <v>83</v>
      </c>
      <c r="AK55" s="222">
        <v>94.85</v>
      </c>
      <c r="AL55" s="222">
        <v>10.199999999999999</v>
      </c>
      <c r="AM55" s="222">
        <v>24</v>
      </c>
      <c r="AN55" s="222" t="s">
        <v>83</v>
      </c>
      <c r="AO55" s="218">
        <v>12</v>
      </c>
      <c r="AP55" s="218" t="s">
        <v>83</v>
      </c>
      <c r="AQ55" s="222" t="s">
        <v>83</v>
      </c>
      <c r="AR55" s="257">
        <v>12</v>
      </c>
      <c r="AS55" s="226"/>
      <c r="AT55" s="227"/>
      <c r="AU55" s="227"/>
      <c r="AV55" s="227"/>
      <c r="AW55" s="228"/>
    </row>
    <row r="56" spans="1:49" ht="26.25">
      <c r="A56" s="212">
        <v>15</v>
      </c>
      <c r="B56" s="213">
        <v>1210</v>
      </c>
      <c r="C56" s="32">
        <f>1000+200+70+140+210</f>
        <v>1620</v>
      </c>
      <c r="D56" s="32">
        <f t="shared" si="25"/>
        <v>4536</v>
      </c>
      <c r="E56" s="32">
        <f t="shared" si="26"/>
        <v>4.5359999999999996</v>
      </c>
      <c r="F56" s="215">
        <f>('[1]1'!AM62+'[1]2'!AM62+'[1]3'!AM62)/3</f>
        <v>0</v>
      </c>
      <c r="G56" s="215">
        <f>('[1]1'!AN62+'[1]2'!AN62+'[1]3'!AN62)/3</f>
        <v>0</v>
      </c>
      <c r="H56" s="215">
        <f>('[1]1'!AO62+'[1]2'!AO62+'[1]3'!AO62)/3</f>
        <v>0</v>
      </c>
      <c r="I56" s="215">
        <f t="shared" si="22"/>
        <v>0</v>
      </c>
      <c r="J56" s="216">
        <f t="shared" si="23"/>
        <v>168</v>
      </c>
      <c r="K56" s="217">
        <v>98</v>
      </c>
      <c r="L56" s="32">
        <f t="shared" si="15"/>
        <v>266</v>
      </c>
      <c r="M56" s="202">
        <f t="shared" si="27"/>
        <v>58.641975308641982</v>
      </c>
      <c r="N56" s="202">
        <f t="shared" si="24"/>
        <v>0.16419753086419753</v>
      </c>
      <c r="O56" s="218">
        <f>'[1]1'!F62+'[1]2'!F62+'[1]3'!F62</f>
        <v>0</v>
      </c>
      <c r="P56" s="218">
        <f>'[1]1'!AA62+'[1]2'!AA62+'[1]3'!AA62</f>
        <v>0</v>
      </c>
      <c r="Q56" s="219" t="e">
        <f t="shared" si="16"/>
        <v>#DIV/0!</v>
      </c>
      <c r="R56" s="222">
        <f>0.9+1+0.6</f>
        <v>2.5</v>
      </c>
      <c r="S56" s="254">
        <f t="shared" si="20"/>
        <v>5.5114638447971778E-4</v>
      </c>
      <c r="T56" s="222">
        <f>((2.5+0.8+4.4)*11)+((6.3)*17.4)</f>
        <v>194.32</v>
      </c>
      <c r="U56" s="222">
        <f>'[1]1'!AR62+'[1]2'!AR62+'[1]3'!AR62</f>
        <v>0</v>
      </c>
      <c r="V56" s="222" t="e">
        <f t="shared" si="21"/>
        <v>#DIV/0!</v>
      </c>
      <c r="W56" s="222" t="s">
        <v>83</v>
      </c>
      <c r="X56" s="222" t="s">
        <v>83</v>
      </c>
      <c r="Y56" s="218">
        <v>21</v>
      </c>
      <c r="Z56" s="218" t="s">
        <v>83</v>
      </c>
      <c r="AA56" s="222" t="s">
        <v>83</v>
      </c>
      <c r="AB56" s="218">
        <v>21</v>
      </c>
      <c r="AC56" s="222">
        <v>5355</v>
      </c>
      <c r="AD56" s="218">
        <v>5</v>
      </c>
      <c r="AE56" s="224">
        <f t="shared" si="17"/>
        <v>88</v>
      </c>
      <c r="AF56" s="222">
        <v>51.2</v>
      </c>
      <c r="AG56" s="222">
        <f t="shared" si="18"/>
        <v>139.19999999999999</v>
      </c>
      <c r="AH56" s="251">
        <f t="shared" si="19"/>
        <v>486.81818181818181</v>
      </c>
      <c r="AI56" s="218">
        <f>13*60*5</f>
        <v>3900</v>
      </c>
      <c r="AJ56" s="218" t="s">
        <v>83</v>
      </c>
      <c r="AK56" s="222">
        <v>278.7</v>
      </c>
      <c r="AL56" s="222">
        <v>20.7</v>
      </c>
      <c r="AM56" s="222">
        <v>38</v>
      </c>
      <c r="AN56" s="222" t="s">
        <v>83</v>
      </c>
      <c r="AO56" s="218">
        <v>11</v>
      </c>
      <c r="AP56" s="218">
        <v>1</v>
      </c>
      <c r="AQ56" s="222" t="s">
        <v>83</v>
      </c>
      <c r="AR56" s="257">
        <v>12</v>
      </c>
      <c r="AS56" s="226"/>
      <c r="AT56" s="227"/>
      <c r="AU56" s="227"/>
      <c r="AV56" s="227"/>
      <c r="AW56" s="228"/>
    </row>
    <row r="57" spans="1:49" ht="26.25">
      <c r="A57" s="212">
        <v>16</v>
      </c>
      <c r="B57" s="213">
        <v>1420</v>
      </c>
      <c r="C57" s="32">
        <f>297+1000+210+210+100</f>
        <v>1817</v>
      </c>
      <c r="D57" s="32">
        <f t="shared" si="25"/>
        <v>5087.5999999999995</v>
      </c>
      <c r="E57" s="32">
        <f t="shared" si="26"/>
        <v>5.0875999999999992</v>
      </c>
      <c r="F57" s="215">
        <f>('[1]1'!AM63+'[1]2'!AM63+'[1]3'!AM63)/3</f>
        <v>0</v>
      </c>
      <c r="G57" s="215">
        <f>('[1]1'!AN63+'[1]2'!AN63+'[1]3'!AN63)/3</f>
        <v>0</v>
      </c>
      <c r="H57" s="215">
        <f>('[1]1'!AO63+'[1]2'!AO63+'[1]3'!AO63)/3</f>
        <v>0</v>
      </c>
      <c r="I57" s="215">
        <f>('[1]1'!AP63+'[1]2'!AP63+'[1]3'!AP63)/3</f>
        <v>0</v>
      </c>
      <c r="J57" s="216">
        <f t="shared" si="23"/>
        <v>168</v>
      </c>
      <c r="K57" s="217">
        <v>98</v>
      </c>
      <c r="L57" s="32">
        <f t="shared" si="15"/>
        <v>266</v>
      </c>
      <c r="M57" s="202">
        <f t="shared" si="27"/>
        <v>52.283984589983497</v>
      </c>
      <c r="N57" s="202">
        <f t="shared" si="24"/>
        <v>0.14639515685195378</v>
      </c>
      <c r="O57" s="218">
        <f>'[1]1'!F63+'[1]2'!F63+'[1]3'!F63</f>
        <v>0</v>
      </c>
      <c r="P57" s="218">
        <f>'[1]1'!AA63+'[1]2'!AA63+'[1]3'!AA63</f>
        <v>0</v>
      </c>
      <c r="Q57" s="219" t="e">
        <f t="shared" si="16"/>
        <v>#DIV/0!</v>
      </c>
      <c r="R57" s="222">
        <f>0.5+1+1.1</f>
        <v>2.6</v>
      </c>
      <c r="S57" s="254">
        <f t="shared" si="20"/>
        <v>5.1104646591713194E-4</v>
      </c>
      <c r="T57" s="222">
        <f>((4.5+5)*11)+((1.4+5)*17.4)</f>
        <v>215.86</v>
      </c>
      <c r="U57" s="222">
        <f>'[1]1'!AR63+'[1]2'!AR63+'[1]3'!AR63</f>
        <v>0</v>
      </c>
      <c r="V57" s="222" t="e">
        <f t="shared" si="21"/>
        <v>#DIV/0!</v>
      </c>
      <c r="W57" s="222" t="s">
        <v>83</v>
      </c>
      <c r="X57" s="222" t="s">
        <v>83</v>
      </c>
      <c r="Y57" s="218">
        <v>21</v>
      </c>
      <c r="Z57" s="218" t="s">
        <v>83</v>
      </c>
      <c r="AA57" s="222" t="s">
        <v>83</v>
      </c>
      <c r="AB57" s="218">
        <v>21</v>
      </c>
      <c r="AC57" s="222">
        <v>4903.2</v>
      </c>
      <c r="AD57" s="218">
        <v>5</v>
      </c>
      <c r="AE57" s="224">
        <f t="shared" si="17"/>
        <v>96</v>
      </c>
      <c r="AF57" s="222">
        <v>56</v>
      </c>
      <c r="AG57" s="222">
        <f t="shared" si="18"/>
        <v>152</v>
      </c>
      <c r="AH57" s="222">
        <f>AC57/AO57</f>
        <v>408.59999999999997</v>
      </c>
      <c r="AI57" s="218">
        <f>12*60*5</f>
        <v>3600</v>
      </c>
      <c r="AJ57" s="218" t="s">
        <v>83</v>
      </c>
      <c r="AK57" s="222">
        <v>369</v>
      </c>
      <c r="AL57" s="222">
        <v>30.6</v>
      </c>
      <c r="AM57" s="222">
        <v>40</v>
      </c>
      <c r="AN57" s="222" t="s">
        <v>83</v>
      </c>
      <c r="AO57" s="218">
        <v>12</v>
      </c>
      <c r="AP57" s="218" t="s">
        <v>83</v>
      </c>
      <c r="AQ57" s="222" t="s">
        <v>83</v>
      </c>
      <c r="AR57" s="257">
        <v>12</v>
      </c>
      <c r="AS57" s="226"/>
      <c r="AT57" s="227"/>
      <c r="AU57" s="227"/>
      <c r="AV57" s="227"/>
      <c r="AW57" s="228"/>
    </row>
    <row r="58" spans="1:49" ht="26.25">
      <c r="A58" s="212">
        <v>17</v>
      </c>
      <c r="B58" s="213">
        <v>1920</v>
      </c>
      <c r="C58" s="32">
        <f>900+300+210+280+240</f>
        <v>1930</v>
      </c>
      <c r="D58" s="32">
        <f t="shared" si="25"/>
        <v>5404</v>
      </c>
      <c r="E58" s="32">
        <f t="shared" si="26"/>
        <v>5.4039999999999999</v>
      </c>
      <c r="F58" s="215">
        <f>('[1]1'!AM64+'[1]2'!AM64+'[1]3'!AM64)/3</f>
        <v>0</v>
      </c>
      <c r="G58" s="215">
        <f>('[1]1'!AN64+'[1]2'!AN64+'[1]3'!AN64)/3</f>
        <v>0</v>
      </c>
      <c r="H58" s="215">
        <f>('[1]1'!AO64+'[1]2'!AO64+'[1]3'!AO64)/3</f>
        <v>0</v>
      </c>
      <c r="I58" s="215">
        <f>('[1]1'!AP64+'[1]2'!AP64+'[1]3'!AP64)/3</f>
        <v>0</v>
      </c>
      <c r="J58" s="216">
        <f t="shared" si="23"/>
        <v>168</v>
      </c>
      <c r="K58" s="217">
        <v>98</v>
      </c>
      <c r="L58" s="32">
        <f t="shared" si="15"/>
        <v>266</v>
      </c>
      <c r="M58" s="202">
        <f t="shared" si="27"/>
        <v>49.222797927461137</v>
      </c>
      <c r="N58" s="202">
        <f t="shared" si="24"/>
        <v>0.1378238341968912</v>
      </c>
      <c r="O58" s="218">
        <f>'[1]1'!F64+'[1]2'!F64+'[1]3'!F64</f>
        <v>0</v>
      </c>
      <c r="P58" s="218">
        <f>'[1]1'!AA64+'[1]2'!AA64+'[1]3'!AA64</f>
        <v>0</v>
      </c>
      <c r="Q58" s="219" t="e">
        <f t="shared" si="16"/>
        <v>#DIV/0!</v>
      </c>
      <c r="R58" s="222">
        <f>0.4+0.6+0.5+0.8+0.8</f>
        <v>3.0999999999999996</v>
      </c>
      <c r="S58" s="254">
        <f t="shared" si="20"/>
        <v>5.7364914877868238E-4</v>
      </c>
      <c r="T58" s="222">
        <f>((3.9+6.2)*11)+((4.3+2.04)*17.4)</f>
        <v>221.416</v>
      </c>
      <c r="U58" s="222">
        <f>'[1]1'!AR64+'[1]2'!AR64+'[1]3'!AR64</f>
        <v>0</v>
      </c>
      <c r="V58" s="222" t="e">
        <f>T58/U58</f>
        <v>#DIV/0!</v>
      </c>
      <c r="W58" s="222" t="s">
        <v>83</v>
      </c>
      <c r="X58" s="222" t="s">
        <v>83</v>
      </c>
      <c r="Y58" s="218">
        <v>21</v>
      </c>
      <c r="Z58" s="218" t="s">
        <v>83</v>
      </c>
      <c r="AA58" s="222" t="s">
        <v>83</v>
      </c>
      <c r="AB58" s="218">
        <v>21</v>
      </c>
      <c r="AC58" s="222">
        <f>2301+1974</f>
        <v>4275</v>
      </c>
      <c r="AD58" s="218">
        <v>5</v>
      </c>
      <c r="AE58" s="224">
        <f t="shared" si="17"/>
        <v>96</v>
      </c>
      <c r="AF58" s="222">
        <v>56</v>
      </c>
      <c r="AG58" s="222">
        <f t="shared" si="18"/>
        <v>152</v>
      </c>
      <c r="AH58" s="222">
        <f t="shared" si="19"/>
        <v>356.25</v>
      </c>
      <c r="AI58" s="218">
        <f>13*60*5</f>
        <v>3900</v>
      </c>
      <c r="AJ58" s="218">
        <v>270</v>
      </c>
      <c r="AK58" s="222">
        <f>119.75+102.15</f>
        <v>221.9</v>
      </c>
      <c r="AL58" s="222">
        <f>10.5+9.5</f>
        <v>20</v>
      </c>
      <c r="AM58" s="222">
        <f>12+12</f>
        <v>24</v>
      </c>
      <c r="AN58" s="222" t="s">
        <v>83</v>
      </c>
      <c r="AO58" s="218">
        <v>12</v>
      </c>
      <c r="AP58" s="218" t="s">
        <v>83</v>
      </c>
      <c r="AQ58" s="222" t="s">
        <v>83</v>
      </c>
      <c r="AR58" s="257">
        <v>12</v>
      </c>
      <c r="AS58" s="226"/>
      <c r="AT58" s="227"/>
      <c r="AU58" s="227"/>
      <c r="AV58" s="227"/>
      <c r="AW58" s="228"/>
    </row>
    <row r="59" spans="1:49" ht="26.25">
      <c r="A59" s="212">
        <v>18</v>
      </c>
      <c r="B59" s="213">
        <v>1920</v>
      </c>
      <c r="C59" s="32">
        <f>700+320+280+260</f>
        <v>1560</v>
      </c>
      <c r="D59" s="32">
        <f t="shared" si="25"/>
        <v>4368</v>
      </c>
      <c r="E59" s="32">
        <f t="shared" si="26"/>
        <v>4.3680000000000003</v>
      </c>
      <c r="F59" s="215">
        <f>('[1]1'!AM65+'[1]2'!AM65+'[1]3'!AM65)/3</f>
        <v>0</v>
      </c>
      <c r="G59" s="215">
        <f>('[1]1'!AN65+'[1]2'!AN65+'[1]3'!AN65)/3</f>
        <v>0</v>
      </c>
      <c r="H59" s="215">
        <f>('[1]1'!AO65+'[1]2'!AO65+'[1]3'!AO65)/3</f>
        <v>0</v>
      </c>
      <c r="I59" s="215">
        <f>(F59*G59*H59)/10000</f>
        <v>0</v>
      </c>
      <c r="J59" s="216">
        <f t="shared" si="23"/>
        <v>160</v>
      </c>
      <c r="K59" s="217">
        <v>93.2</v>
      </c>
      <c r="L59" s="32">
        <f>K59+J59</f>
        <v>253.2</v>
      </c>
      <c r="M59" s="202">
        <f t="shared" si="27"/>
        <v>57.967032967032964</v>
      </c>
      <c r="N59" s="202">
        <f t="shared" si="24"/>
        <v>0.16230769230769229</v>
      </c>
      <c r="O59" s="218">
        <f>'[1]1'!F65+'[1]2'!F65+'[1]3'!F65</f>
        <v>0</v>
      </c>
      <c r="P59" s="218">
        <f>'[1]1'!AA65+'[1]2'!AA65+'[1]3'!AA65</f>
        <v>0</v>
      </c>
      <c r="Q59" s="219" t="e">
        <f>O59/P59</f>
        <v>#DIV/0!</v>
      </c>
      <c r="R59" s="222">
        <f>0.4+0.4+0.3+1+1+0.3</f>
        <v>3.4</v>
      </c>
      <c r="S59" s="254">
        <f t="shared" si="20"/>
        <v>7.7838827838827833E-4</v>
      </c>
      <c r="T59" s="222">
        <f>((6.4+6.4)*11)+((6.4*17.4))</f>
        <v>252.16000000000003</v>
      </c>
      <c r="U59" s="222">
        <f>'[1]1'!AR65+'[1]2'!AR65+'[1]3'!AR65</f>
        <v>0</v>
      </c>
      <c r="V59" s="222" t="e">
        <f>T59/U59</f>
        <v>#DIV/0!</v>
      </c>
      <c r="W59" s="222" t="s">
        <v>83</v>
      </c>
      <c r="X59" s="222" t="s">
        <v>83</v>
      </c>
      <c r="Y59" s="218">
        <v>20</v>
      </c>
      <c r="Z59" s="218">
        <v>1</v>
      </c>
      <c r="AA59" s="222" t="s">
        <v>83</v>
      </c>
      <c r="AB59" s="218">
        <v>21</v>
      </c>
      <c r="AC59" s="222">
        <v>2809.8</v>
      </c>
      <c r="AD59" s="218">
        <v>5</v>
      </c>
      <c r="AE59" s="224">
        <f t="shared" si="17"/>
        <v>96</v>
      </c>
      <c r="AF59" s="222">
        <v>0</v>
      </c>
      <c r="AG59" s="222">
        <f t="shared" si="18"/>
        <v>96</v>
      </c>
      <c r="AH59" s="222">
        <f t="shared" si="19"/>
        <v>234.15</v>
      </c>
      <c r="AI59" s="218">
        <f>8*5*60</f>
        <v>2400</v>
      </c>
      <c r="AJ59" s="218" t="s">
        <v>83</v>
      </c>
      <c r="AK59" s="222">
        <v>140.5</v>
      </c>
      <c r="AL59" s="222">
        <v>13.2</v>
      </c>
      <c r="AM59" s="222">
        <v>24</v>
      </c>
      <c r="AN59" s="222" t="s">
        <v>83</v>
      </c>
      <c r="AO59" s="218">
        <v>12</v>
      </c>
      <c r="AP59" s="218" t="s">
        <v>83</v>
      </c>
      <c r="AQ59" s="222" t="s">
        <v>83</v>
      </c>
      <c r="AR59" s="257">
        <v>12</v>
      </c>
      <c r="AS59" s="226"/>
      <c r="AT59" s="227"/>
      <c r="AU59" s="227"/>
      <c r="AV59" s="227"/>
      <c r="AW59" s="228"/>
    </row>
    <row r="60" spans="1:49" ht="26.25">
      <c r="A60" s="229">
        <v>19</v>
      </c>
      <c r="B60" s="230"/>
      <c r="C60" s="232"/>
      <c r="D60" s="232">
        <f t="shared" si="25"/>
        <v>0</v>
      </c>
      <c r="E60" s="232">
        <f t="shared" si="26"/>
        <v>0</v>
      </c>
      <c r="F60" s="233"/>
      <c r="G60" s="233"/>
      <c r="H60" s="233"/>
      <c r="I60" s="233"/>
      <c r="J60" s="234">
        <f t="shared" si="23"/>
        <v>0</v>
      </c>
      <c r="K60" s="259"/>
      <c r="L60" s="232">
        <f t="shared" si="15"/>
        <v>0</v>
      </c>
      <c r="M60" s="202"/>
      <c r="N60" s="202"/>
      <c r="O60" s="236">
        <f>'[1]1'!F66+'[1]2'!F66+'[1]3'!F66</f>
        <v>0</v>
      </c>
      <c r="P60" s="236">
        <f>'[1]1'!AA66+'[1]2'!AA66+'[1]3'!AA66</f>
        <v>0</v>
      </c>
      <c r="Q60" s="237" t="e">
        <f t="shared" si="16"/>
        <v>#DIV/0!</v>
      </c>
      <c r="R60" s="240"/>
      <c r="S60" s="260" t="e">
        <f t="shared" si="20"/>
        <v>#DIV/0!</v>
      </c>
      <c r="T60" s="240"/>
      <c r="U60" s="240">
        <f>'[1]1'!AR66+'[1]2'!AR66+'[1]3'!AR66</f>
        <v>0</v>
      </c>
      <c r="V60" s="240" t="e">
        <f>T60/U60</f>
        <v>#DIV/0!</v>
      </c>
      <c r="W60" s="240" t="s">
        <v>83</v>
      </c>
      <c r="X60" s="240" t="s">
        <v>83</v>
      </c>
      <c r="Y60" s="236"/>
      <c r="Z60" s="236"/>
      <c r="AA60" s="240" t="s">
        <v>83</v>
      </c>
      <c r="AB60" s="236">
        <v>21</v>
      </c>
      <c r="AC60" s="240"/>
      <c r="AD60" s="236"/>
      <c r="AE60" s="242">
        <f t="shared" si="17"/>
        <v>0</v>
      </c>
      <c r="AF60" s="240"/>
      <c r="AG60" s="240">
        <f t="shared" si="18"/>
        <v>0</v>
      </c>
      <c r="AH60" s="240" t="e">
        <f t="shared" si="19"/>
        <v>#DIV/0!</v>
      </c>
      <c r="AI60" s="236"/>
      <c r="AJ60" s="236" t="s">
        <v>83</v>
      </c>
      <c r="AK60" s="240"/>
      <c r="AL60" s="240"/>
      <c r="AM60" s="240"/>
      <c r="AN60" s="240" t="s">
        <v>83</v>
      </c>
      <c r="AO60" s="236"/>
      <c r="AP60" s="236" t="s">
        <v>83</v>
      </c>
      <c r="AQ60" s="240" t="s">
        <v>83</v>
      </c>
      <c r="AR60" s="261">
        <v>12</v>
      </c>
      <c r="AS60" s="244"/>
      <c r="AT60" s="245"/>
      <c r="AU60" s="245"/>
      <c r="AV60" s="245"/>
      <c r="AW60" s="246"/>
    </row>
    <row r="61" spans="1:49" ht="26.25">
      <c r="A61" s="212">
        <v>20</v>
      </c>
      <c r="B61" s="213">
        <v>2360</v>
      </c>
      <c r="C61" s="32">
        <f>380+700</f>
        <v>1080</v>
      </c>
      <c r="D61" s="32">
        <f t="shared" si="25"/>
        <v>3024</v>
      </c>
      <c r="E61" s="32">
        <f t="shared" si="26"/>
        <v>3.024</v>
      </c>
      <c r="F61" s="215">
        <f>('[1]1'!AM67+'[1]2'!AM67+'[1]3'!AM67)/3</f>
        <v>0</v>
      </c>
      <c r="G61" s="215">
        <f>('[1]1'!AN67+'[1]2'!AN67+'[1]3'!AN67)/3</f>
        <v>0</v>
      </c>
      <c r="H61" s="215">
        <f>('[1]1'!AO67+'[1]2'!AO67+'[1]3'!AO67)/3</f>
        <v>0</v>
      </c>
      <c r="I61" s="215">
        <f t="shared" ref="I61:I72" si="28">(F61*G61*H61)/10000</f>
        <v>0</v>
      </c>
      <c r="J61" s="216">
        <f t="shared" si="23"/>
        <v>168</v>
      </c>
      <c r="K61" s="217">
        <v>98</v>
      </c>
      <c r="L61" s="32">
        <f t="shared" si="15"/>
        <v>266</v>
      </c>
      <c r="M61" s="202">
        <f t="shared" si="27"/>
        <v>87.962962962962962</v>
      </c>
      <c r="N61" s="202">
        <f t="shared" si="24"/>
        <v>0.24629629629629629</v>
      </c>
      <c r="O61" s="218">
        <f>'[1]1'!F67+'[1]2'!F67+'[1]3'!F67</f>
        <v>0</v>
      </c>
      <c r="P61" s="218">
        <f>'[1]1'!AA67+'[1]2'!AA67+'[1]3'!AA67</f>
        <v>0</v>
      </c>
      <c r="Q61" s="219" t="e">
        <f t="shared" si="16"/>
        <v>#DIV/0!</v>
      </c>
      <c r="R61" s="222">
        <f>0.8+0.8+0.2+0.6</f>
        <v>2.4</v>
      </c>
      <c r="S61" s="254">
        <f t="shared" si="20"/>
        <v>7.9365079365079365E-4</v>
      </c>
      <c r="T61" s="222">
        <f>(8.09*11)+(3.8*17.4)</f>
        <v>155.10999999999999</v>
      </c>
      <c r="U61" s="222">
        <f>'[1]1'!AR67+'[1]2'!AR67+'[1]3'!AR67</f>
        <v>0</v>
      </c>
      <c r="V61" s="222" t="e">
        <f>T61/U61</f>
        <v>#DIV/0!</v>
      </c>
      <c r="W61" s="222">
        <v>17.7</v>
      </c>
      <c r="X61" s="222" t="s">
        <v>83</v>
      </c>
      <c r="Y61" s="218">
        <v>21</v>
      </c>
      <c r="Z61" s="218"/>
      <c r="AA61" s="222" t="s">
        <v>83</v>
      </c>
      <c r="AB61" s="218">
        <v>21</v>
      </c>
      <c r="AC61" s="222">
        <v>3648</v>
      </c>
      <c r="AD61" s="218">
        <v>5</v>
      </c>
      <c r="AE61" s="224">
        <f>AO61*8</f>
        <v>96</v>
      </c>
      <c r="AF61" s="222">
        <v>20</v>
      </c>
      <c r="AG61" s="222">
        <f t="shared" si="18"/>
        <v>116</v>
      </c>
      <c r="AH61" s="222">
        <f t="shared" si="19"/>
        <v>304</v>
      </c>
      <c r="AI61" s="218">
        <f>10*5*60</f>
        <v>3000</v>
      </c>
      <c r="AJ61" s="218" t="s">
        <v>83</v>
      </c>
      <c r="AK61" s="222">
        <v>180.75</v>
      </c>
      <c r="AL61" s="222">
        <v>16</v>
      </c>
      <c r="AM61" s="222">
        <v>40</v>
      </c>
      <c r="AN61" s="222" t="s">
        <v>83</v>
      </c>
      <c r="AO61" s="218">
        <v>12</v>
      </c>
      <c r="AP61" s="218" t="s">
        <v>83</v>
      </c>
      <c r="AQ61" s="222" t="s">
        <v>83</v>
      </c>
      <c r="AR61" s="257">
        <v>12</v>
      </c>
      <c r="AS61" s="226"/>
      <c r="AT61" s="227"/>
      <c r="AU61" s="227"/>
      <c r="AV61" s="227"/>
      <c r="AW61" s="228"/>
    </row>
    <row r="62" spans="1:49" ht="26.25">
      <c r="A62" s="212">
        <v>21</v>
      </c>
      <c r="B62" s="213">
        <v>1420</v>
      </c>
      <c r="C62" s="32">
        <f>700+350+600+100</f>
        <v>1750</v>
      </c>
      <c r="D62" s="32">
        <f t="shared" si="25"/>
        <v>4900</v>
      </c>
      <c r="E62" s="32">
        <f t="shared" si="26"/>
        <v>4.9000000000000004</v>
      </c>
      <c r="F62" s="215">
        <f>('[1]1'!AM68+'[1]2'!AM68+'[1]10K'!AM68)/3</f>
        <v>0</v>
      </c>
      <c r="G62" s="215">
        <f>('[1]1'!AN68+'[1]2'!AN68+'[1]10K'!AN68)/3</f>
        <v>0</v>
      </c>
      <c r="H62" s="215">
        <f>('[1]1'!AO68+'[1]2'!AO68+'[1]10K'!AO68)/3</f>
        <v>0</v>
      </c>
      <c r="I62" s="215">
        <f t="shared" si="28"/>
        <v>0</v>
      </c>
      <c r="J62" s="216">
        <f t="shared" si="23"/>
        <v>168</v>
      </c>
      <c r="K62" s="217">
        <v>98</v>
      </c>
      <c r="L62" s="32">
        <f t="shared" si="15"/>
        <v>266</v>
      </c>
      <c r="M62" s="202">
        <f t="shared" si="27"/>
        <v>54.285714285714285</v>
      </c>
      <c r="N62" s="202">
        <f t="shared" si="24"/>
        <v>0.152</v>
      </c>
      <c r="O62" s="218">
        <f>'[1]1'!F68+'[1]2'!F68+'[1]3'!F68</f>
        <v>0</v>
      </c>
      <c r="P62" s="218">
        <f>'[1]1'!AA68+'[1]2'!AA68+'[1]3'!AA68</f>
        <v>0</v>
      </c>
      <c r="Q62" s="219" t="e">
        <f t="shared" si="16"/>
        <v>#DIV/0!</v>
      </c>
      <c r="R62" s="222">
        <f>0.8+0.6+0.8+0.4+0.1</f>
        <v>2.7</v>
      </c>
      <c r="S62" s="254">
        <f t="shared" si="20"/>
        <v>5.5102040816326539E-4</v>
      </c>
      <c r="T62" s="222">
        <f>(8.28*11)+(7.17*17.4)</f>
        <v>215.83799999999999</v>
      </c>
      <c r="U62" s="222">
        <f>'[1]1'!AR68+'[1]2'!AR68+'[1]3'!AR68</f>
        <v>0</v>
      </c>
      <c r="V62" s="222" t="e">
        <f>T62/U62</f>
        <v>#DIV/0!</v>
      </c>
      <c r="W62" s="222"/>
      <c r="X62" s="222" t="s">
        <v>83</v>
      </c>
      <c r="Y62" s="218">
        <v>21</v>
      </c>
      <c r="Z62" s="218" t="s">
        <v>83</v>
      </c>
      <c r="AA62" s="222" t="s">
        <v>83</v>
      </c>
      <c r="AB62" s="218">
        <v>21</v>
      </c>
      <c r="AC62" s="222"/>
      <c r="AD62" s="218"/>
      <c r="AE62" s="224">
        <f>AO62*8</f>
        <v>0</v>
      </c>
      <c r="AF62" s="222"/>
      <c r="AG62" s="222">
        <f>AE62+AF62</f>
        <v>0</v>
      </c>
      <c r="AH62" s="222" t="e">
        <f t="shared" si="19"/>
        <v>#DIV/0!</v>
      </c>
      <c r="AI62" s="218"/>
      <c r="AJ62" s="218" t="s">
        <v>83</v>
      </c>
      <c r="AK62" s="222"/>
      <c r="AL62" s="222"/>
      <c r="AM62" s="222"/>
      <c r="AN62" s="222" t="s">
        <v>83</v>
      </c>
      <c r="AO62" s="218"/>
      <c r="AP62" s="218" t="s">
        <v>83</v>
      </c>
      <c r="AQ62" s="222" t="s">
        <v>83</v>
      </c>
      <c r="AR62" s="257">
        <v>12</v>
      </c>
      <c r="AS62" s="226"/>
      <c r="AT62" s="227"/>
      <c r="AU62" s="227"/>
      <c r="AV62" s="227"/>
      <c r="AW62" s="228"/>
    </row>
    <row r="63" spans="1:49" ht="26.25">
      <c r="A63" s="212">
        <v>22</v>
      </c>
      <c r="B63" s="213">
        <v>1420</v>
      </c>
      <c r="C63" s="32">
        <f>70+220+200+500+500+400</f>
        <v>1890</v>
      </c>
      <c r="D63" s="32">
        <f t="shared" si="25"/>
        <v>5292</v>
      </c>
      <c r="E63" s="32">
        <f t="shared" si="26"/>
        <v>5.2919999999999998</v>
      </c>
      <c r="F63" s="215">
        <f>('[1]2'!AM69+'[1]3'!AM69+'[1]10K'!AM69)/3</f>
        <v>0</v>
      </c>
      <c r="G63" s="215">
        <f>('[1]2'!AN69+'[1]3'!AN69+'[1]10K'!AN69)/3</f>
        <v>0</v>
      </c>
      <c r="H63" s="215">
        <f>('[1]2'!AO69+'[1]3'!AO69+'[1]10K'!AO69)/3</f>
        <v>0</v>
      </c>
      <c r="I63" s="215">
        <f t="shared" si="28"/>
        <v>0</v>
      </c>
      <c r="J63" s="216">
        <f t="shared" si="23"/>
        <v>168</v>
      </c>
      <c r="K63" s="217">
        <v>98</v>
      </c>
      <c r="L63" s="32">
        <f t="shared" si="15"/>
        <v>266</v>
      </c>
      <c r="M63" s="202">
        <f t="shared" si="27"/>
        <v>50.264550264550266</v>
      </c>
      <c r="N63" s="202">
        <f t="shared" si="24"/>
        <v>0.14074074074074075</v>
      </c>
      <c r="O63" s="218">
        <f>'[1]1'!F69+'[1]2'!F69+'[1]3'!F69</f>
        <v>0</v>
      </c>
      <c r="P63" s="218">
        <f>'[1]1'!AA69+'[1]2'!AA69+'[1]3'!AA69</f>
        <v>0</v>
      </c>
      <c r="Q63" s="219" t="e">
        <f t="shared" si="16"/>
        <v>#DIV/0!</v>
      </c>
      <c r="R63" s="222">
        <f>0.2+0.2+0.3+0.1+0.4+0.3</f>
        <v>1.5</v>
      </c>
      <c r="S63" s="254">
        <f t="shared" si="20"/>
        <v>2.834467120181406E-4</v>
      </c>
      <c r="T63" s="222">
        <f>((4.2+4.6+0.3)*11)+(2.7*17.4)</f>
        <v>147.08000000000001</v>
      </c>
      <c r="U63" s="222">
        <f>'[1]1'!AR69+'[1]2'!AR69+'[1]3'!AR69</f>
        <v>0</v>
      </c>
      <c r="V63" s="222" t="e">
        <f t="shared" ref="V63:V72" si="29">T63/U63</f>
        <v>#DIV/0!</v>
      </c>
      <c r="W63" s="222">
        <v>8.9</v>
      </c>
      <c r="X63" s="222"/>
      <c r="Y63" s="218">
        <v>21</v>
      </c>
      <c r="Z63" s="218"/>
      <c r="AA63" s="222"/>
      <c r="AB63" s="218">
        <v>21</v>
      </c>
      <c r="AC63" s="222">
        <v>5262</v>
      </c>
      <c r="AD63" s="218">
        <v>5</v>
      </c>
      <c r="AE63" s="224">
        <f t="shared" ref="AE63:AE72" si="30">AO63*8</f>
        <v>96</v>
      </c>
      <c r="AF63" s="222">
        <v>56</v>
      </c>
      <c r="AG63" s="222">
        <f t="shared" si="18"/>
        <v>152</v>
      </c>
      <c r="AH63" s="251">
        <f t="shared" si="19"/>
        <v>438.5</v>
      </c>
      <c r="AI63" s="218">
        <f>13*5*60</f>
        <v>3900</v>
      </c>
      <c r="AJ63" s="218"/>
      <c r="AK63" s="222">
        <v>256.35000000000002</v>
      </c>
      <c r="AL63" s="222">
        <v>19.2</v>
      </c>
      <c r="AM63" s="222">
        <v>34</v>
      </c>
      <c r="AN63" s="222"/>
      <c r="AO63" s="218">
        <v>12</v>
      </c>
      <c r="AP63" s="218"/>
      <c r="AQ63" s="222"/>
      <c r="AR63" s="257">
        <v>12</v>
      </c>
      <c r="AS63" s="226"/>
      <c r="AT63" s="227"/>
      <c r="AU63" s="227"/>
      <c r="AV63" s="227"/>
      <c r="AW63" s="228"/>
    </row>
    <row r="64" spans="1:49" ht="26.25">
      <c r="A64" s="212">
        <v>23</v>
      </c>
      <c r="B64" s="213">
        <v>1420</v>
      </c>
      <c r="C64" s="32">
        <f>420+499+200+100+500</f>
        <v>1719</v>
      </c>
      <c r="D64" s="32">
        <f t="shared" si="25"/>
        <v>4813.2</v>
      </c>
      <c r="E64" s="32">
        <f t="shared" si="26"/>
        <v>4.8132000000000001</v>
      </c>
      <c r="F64" s="215">
        <f>('[1]2'!AM70+'[1]3'!AM70+'[1]10K'!AM70)/3</f>
        <v>0</v>
      </c>
      <c r="G64" s="215">
        <f>('[1]2'!AN70+'[1]3'!AN70+'[1]10K'!AN70)/3</f>
        <v>0</v>
      </c>
      <c r="H64" s="215">
        <f>('[1]2'!AO70+'[1]3'!AO70+'[1]10K'!AO70)/3</f>
        <v>0</v>
      </c>
      <c r="I64" s="215">
        <f t="shared" si="28"/>
        <v>0</v>
      </c>
      <c r="J64" s="216">
        <f t="shared" si="23"/>
        <v>168</v>
      </c>
      <c r="K64" s="217">
        <v>98</v>
      </c>
      <c r="L64" s="32">
        <f t="shared" si="15"/>
        <v>266</v>
      </c>
      <c r="M64" s="202">
        <f t="shared" si="27"/>
        <v>55.264688772542172</v>
      </c>
      <c r="N64" s="202">
        <f t="shared" si="24"/>
        <v>0.15474112856311809</v>
      </c>
      <c r="O64" s="218">
        <f>'[1]1'!F70+'[1]2'!F70+'[1]3'!F70</f>
        <v>0</v>
      </c>
      <c r="P64" s="218">
        <f>'[1]1'!AA70+'[1]2'!AA70+'[1]3'!AA70</f>
        <v>0</v>
      </c>
      <c r="Q64" s="219" t="e">
        <f t="shared" si="16"/>
        <v>#DIV/0!</v>
      </c>
      <c r="R64" s="222">
        <f>0.3+0.8+0.3+0.1+0.6</f>
        <v>2.1</v>
      </c>
      <c r="S64" s="254">
        <f t="shared" si="20"/>
        <v>4.3630017452006982E-4</v>
      </c>
      <c r="T64" s="222">
        <f>(8.3*11)+((1.6+1.02+2.8)*17.4)</f>
        <v>185.608</v>
      </c>
      <c r="U64" s="222">
        <f>'[1]1'!AR70+'[1]2'!AR70+'[1]3'!AR70</f>
        <v>0</v>
      </c>
      <c r="V64" s="222" t="e">
        <f t="shared" si="29"/>
        <v>#DIV/0!</v>
      </c>
      <c r="W64" s="222">
        <v>4.7</v>
      </c>
      <c r="X64" s="222" t="s">
        <v>83</v>
      </c>
      <c r="Y64" s="218">
        <v>21</v>
      </c>
      <c r="Z64" s="218" t="s">
        <v>83</v>
      </c>
      <c r="AA64" s="222" t="s">
        <v>83</v>
      </c>
      <c r="AB64" s="218">
        <v>21</v>
      </c>
      <c r="AC64" s="222">
        <v>5838</v>
      </c>
      <c r="AD64" s="218">
        <v>5</v>
      </c>
      <c r="AE64" s="224">
        <f t="shared" si="30"/>
        <v>96</v>
      </c>
      <c r="AF64" s="222">
        <v>56</v>
      </c>
      <c r="AG64" s="222">
        <f t="shared" si="18"/>
        <v>152</v>
      </c>
      <c r="AH64" s="222">
        <f t="shared" si="19"/>
        <v>486.5</v>
      </c>
      <c r="AI64" s="218">
        <f>13*5*60</f>
        <v>3900</v>
      </c>
      <c r="AJ64" s="218" t="s">
        <v>83</v>
      </c>
      <c r="AK64" s="222">
        <v>283.55</v>
      </c>
      <c r="AL64" s="222">
        <v>22.7</v>
      </c>
      <c r="AM64" s="222">
        <v>30</v>
      </c>
      <c r="AN64" s="222" t="s">
        <v>83</v>
      </c>
      <c r="AO64" s="218">
        <v>12</v>
      </c>
      <c r="AP64" s="218" t="s">
        <v>83</v>
      </c>
      <c r="AQ64" s="222" t="s">
        <v>83</v>
      </c>
      <c r="AR64" s="257">
        <v>12</v>
      </c>
      <c r="AS64" s="226"/>
      <c r="AT64" s="227"/>
      <c r="AU64" s="227"/>
      <c r="AV64" s="227"/>
      <c r="AW64" s="228"/>
    </row>
    <row r="65" spans="1:49" ht="26.25">
      <c r="A65" s="212">
        <v>24</v>
      </c>
      <c r="B65" s="213">
        <v>1920</v>
      </c>
      <c r="C65" s="32">
        <f>600+500+420+100</f>
        <v>1620</v>
      </c>
      <c r="D65" s="32">
        <f t="shared" si="25"/>
        <v>4536</v>
      </c>
      <c r="E65" s="32">
        <f t="shared" si="26"/>
        <v>4.5359999999999996</v>
      </c>
      <c r="F65" s="215">
        <f>('[1]2'!AM71+'[1]3'!AM71+'[1]10K'!AM71)/3</f>
        <v>0</v>
      </c>
      <c r="G65" s="215">
        <f>('[1]2'!AN71+'[1]3'!AN71+'[1]10K'!AN71)/3</f>
        <v>0</v>
      </c>
      <c r="H65" s="215">
        <f>('[1]2'!AO71+'[1]3'!AO71+'[1]10K'!AO71)/3</f>
        <v>0</v>
      </c>
      <c r="I65" s="215">
        <f t="shared" si="28"/>
        <v>0</v>
      </c>
      <c r="J65" s="216">
        <f t="shared" si="23"/>
        <v>184</v>
      </c>
      <c r="K65" s="217">
        <v>81</v>
      </c>
      <c r="L65" s="32">
        <f t="shared" si="15"/>
        <v>265</v>
      </c>
      <c r="M65" s="202">
        <f t="shared" si="27"/>
        <v>58.421516754850096</v>
      </c>
      <c r="N65" s="202">
        <f t="shared" si="24"/>
        <v>0.16358024691358025</v>
      </c>
      <c r="O65" s="218">
        <f>'[1]1'!F71+'[1]2'!F71+'[1]3'!F71</f>
        <v>0</v>
      </c>
      <c r="P65" s="218">
        <f>'[1]1'!AA71+'[1]2'!AA71+'[1]3'!AA71</f>
        <v>0</v>
      </c>
      <c r="Q65" s="219" t="e">
        <f t="shared" si="16"/>
        <v>#DIV/0!</v>
      </c>
      <c r="R65" s="222">
        <f>0.2+0.3+1.1+0.5+0.1</f>
        <v>2.2000000000000002</v>
      </c>
      <c r="S65" s="254">
        <f t="shared" si="20"/>
        <v>4.8500881834215174E-4</v>
      </c>
      <c r="T65" s="222">
        <f>123.54+97.9</f>
        <v>221.44</v>
      </c>
      <c r="U65" s="222">
        <f>'[1]1'!AR71+'[1]2'!AR71+'[1]3'!AR71</f>
        <v>0</v>
      </c>
      <c r="V65" s="222" t="e">
        <f t="shared" si="29"/>
        <v>#DIV/0!</v>
      </c>
      <c r="W65" s="222">
        <v>1.7</v>
      </c>
      <c r="X65" s="222">
        <v>1.5</v>
      </c>
      <c r="Y65" s="218">
        <v>23</v>
      </c>
      <c r="Z65" s="218">
        <v>2</v>
      </c>
      <c r="AA65" s="222" t="s">
        <v>83</v>
      </c>
      <c r="AB65" s="218">
        <v>21</v>
      </c>
      <c r="AC65" s="222">
        <v>3267.6</v>
      </c>
      <c r="AD65" s="218">
        <v>5</v>
      </c>
      <c r="AE65" s="224">
        <f t="shared" si="30"/>
        <v>96</v>
      </c>
      <c r="AF65" s="222">
        <v>56</v>
      </c>
      <c r="AG65" s="222">
        <f t="shared" si="18"/>
        <v>152</v>
      </c>
      <c r="AH65" s="222">
        <f t="shared" si="19"/>
        <v>272.3</v>
      </c>
      <c r="AI65" s="218">
        <f>8*5*60</f>
        <v>2400</v>
      </c>
      <c r="AJ65" s="218" t="s">
        <v>83</v>
      </c>
      <c r="AK65" s="222">
        <v>173.4</v>
      </c>
      <c r="AL65" s="222">
        <v>15.9</v>
      </c>
      <c r="AM65" s="222">
        <v>20</v>
      </c>
      <c r="AN65" s="222" t="s">
        <v>83</v>
      </c>
      <c r="AO65" s="218">
        <v>12</v>
      </c>
      <c r="AP65" s="218" t="s">
        <v>83</v>
      </c>
      <c r="AQ65" s="222" t="s">
        <v>83</v>
      </c>
      <c r="AR65" s="257">
        <v>12</v>
      </c>
      <c r="AS65" s="226"/>
      <c r="AT65" s="227"/>
      <c r="AU65" s="227"/>
      <c r="AV65" s="227"/>
      <c r="AW65" s="228"/>
    </row>
    <row r="66" spans="1:49" ht="26.25">
      <c r="A66" s="212">
        <v>25</v>
      </c>
      <c r="B66" s="213"/>
      <c r="C66" s="32"/>
      <c r="D66" s="32">
        <f t="shared" si="25"/>
        <v>0</v>
      </c>
      <c r="E66" s="32">
        <f t="shared" si="26"/>
        <v>0</v>
      </c>
      <c r="F66" s="215"/>
      <c r="G66" s="215"/>
      <c r="H66" s="215"/>
      <c r="I66" s="215"/>
      <c r="J66" s="216">
        <f t="shared" si="23"/>
        <v>0</v>
      </c>
      <c r="K66" s="217"/>
      <c r="L66" s="32">
        <f t="shared" si="15"/>
        <v>0</v>
      </c>
      <c r="M66" s="202"/>
      <c r="N66" s="202"/>
      <c r="O66" s="218">
        <f>'[1]1'!F72+'[1]2'!F72+'[1]3'!F72</f>
        <v>0</v>
      </c>
      <c r="P66" s="218">
        <f>'[1]1'!AA72+'[1]2'!AA72+'[1]3'!AA72</f>
        <v>0</v>
      </c>
      <c r="Q66" s="219" t="e">
        <f t="shared" si="16"/>
        <v>#DIV/0!</v>
      </c>
      <c r="R66" s="222"/>
      <c r="S66" s="254" t="e">
        <f t="shared" si="20"/>
        <v>#DIV/0!</v>
      </c>
      <c r="T66" s="222"/>
      <c r="U66" s="222">
        <f>'[1]1'!AR72+'[1]2'!AR72+'[1]3'!AR72</f>
        <v>0</v>
      </c>
      <c r="V66" s="222" t="e">
        <f t="shared" si="29"/>
        <v>#DIV/0!</v>
      </c>
      <c r="W66" s="222">
        <v>7</v>
      </c>
      <c r="X66" s="222" t="s">
        <v>83</v>
      </c>
      <c r="Y66" s="218"/>
      <c r="Z66" s="218" t="s">
        <v>83</v>
      </c>
      <c r="AA66" s="222" t="s">
        <v>83</v>
      </c>
      <c r="AB66" s="218">
        <v>21</v>
      </c>
      <c r="AC66" s="222"/>
      <c r="AD66" s="218"/>
      <c r="AE66" s="224">
        <f t="shared" si="30"/>
        <v>0</v>
      </c>
      <c r="AF66" s="222"/>
      <c r="AG66" s="222">
        <f t="shared" si="18"/>
        <v>0</v>
      </c>
      <c r="AH66" s="222" t="e">
        <f t="shared" si="19"/>
        <v>#DIV/0!</v>
      </c>
      <c r="AI66" s="218"/>
      <c r="AJ66" s="218" t="s">
        <v>83</v>
      </c>
      <c r="AK66" s="222"/>
      <c r="AL66" s="222"/>
      <c r="AM66" s="222"/>
      <c r="AN66" s="222" t="s">
        <v>83</v>
      </c>
      <c r="AO66" s="218"/>
      <c r="AP66" s="218" t="s">
        <v>83</v>
      </c>
      <c r="AQ66" s="222" t="s">
        <v>83</v>
      </c>
      <c r="AR66" s="257">
        <v>12</v>
      </c>
      <c r="AS66" s="226"/>
      <c r="AT66" s="227"/>
      <c r="AU66" s="227"/>
      <c r="AV66" s="227"/>
      <c r="AW66" s="228"/>
    </row>
    <row r="67" spans="1:49" ht="26.25">
      <c r="A67" s="229">
        <v>26</v>
      </c>
      <c r="B67" s="230"/>
      <c r="C67" s="232"/>
      <c r="D67" s="232">
        <f t="shared" si="25"/>
        <v>0</v>
      </c>
      <c r="E67" s="232">
        <f t="shared" si="26"/>
        <v>0</v>
      </c>
      <c r="F67" s="233"/>
      <c r="G67" s="233"/>
      <c r="H67" s="233"/>
      <c r="I67" s="233"/>
      <c r="J67" s="234">
        <f t="shared" si="23"/>
        <v>0</v>
      </c>
      <c r="K67" s="259">
        <v>0</v>
      </c>
      <c r="L67" s="232">
        <f t="shared" si="15"/>
        <v>0</v>
      </c>
      <c r="M67" s="202"/>
      <c r="N67" s="202"/>
      <c r="O67" s="236">
        <f>'[1]1'!F73+'[1]2'!F73+'[1]3'!F73</f>
        <v>0</v>
      </c>
      <c r="P67" s="236">
        <f>'[1]1'!AA73+'[1]2'!AA73+'[1]3'!AA73</f>
        <v>0</v>
      </c>
      <c r="Q67" s="237" t="e">
        <f t="shared" si="16"/>
        <v>#DIV/0!</v>
      </c>
      <c r="R67" s="240"/>
      <c r="S67" s="260" t="e">
        <f t="shared" si="20"/>
        <v>#DIV/0!</v>
      </c>
      <c r="T67" s="240"/>
      <c r="U67" s="240">
        <f>'[1]1'!AR73+'[1]2'!AR73+'[1]3'!AR73</f>
        <v>0</v>
      </c>
      <c r="V67" s="240" t="e">
        <f t="shared" si="29"/>
        <v>#DIV/0!</v>
      </c>
      <c r="W67" s="240" t="s">
        <v>83</v>
      </c>
      <c r="X67" s="240" t="s">
        <v>83</v>
      </c>
      <c r="Y67" s="236"/>
      <c r="Z67" s="236" t="s">
        <v>83</v>
      </c>
      <c r="AA67" s="240" t="s">
        <v>83</v>
      </c>
      <c r="AB67" s="236">
        <v>21</v>
      </c>
      <c r="AC67" s="240"/>
      <c r="AD67" s="236"/>
      <c r="AE67" s="242">
        <f t="shared" si="30"/>
        <v>0</v>
      </c>
      <c r="AF67" s="240"/>
      <c r="AG67" s="240">
        <f t="shared" si="18"/>
        <v>0</v>
      </c>
      <c r="AH67" s="240" t="e">
        <f t="shared" si="19"/>
        <v>#DIV/0!</v>
      </c>
      <c r="AI67" s="236"/>
      <c r="AJ67" s="236"/>
      <c r="AK67" s="240"/>
      <c r="AL67" s="240"/>
      <c r="AM67" s="240"/>
      <c r="AN67" s="240" t="s">
        <v>83</v>
      </c>
      <c r="AO67" s="236"/>
      <c r="AP67" s="236"/>
      <c r="AQ67" s="240" t="s">
        <v>83</v>
      </c>
      <c r="AR67" s="261">
        <v>12</v>
      </c>
      <c r="AS67" s="244"/>
      <c r="AT67" s="245"/>
      <c r="AU67" s="245"/>
      <c r="AV67" s="245"/>
      <c r="AW67" s="246"/>
    </row>
    <row r="68" spans="1:49" ht="26.25">
      <c r="A68" s="212">
        <v>27</v>
      </c>
      <c r="B68" s="213">
        <f>420+280+1000+500</f>
        <v>2200</v>
      </c>
      <c r="C68" s="32">
        <f>250+50+500+200+210+350</f>
        <v>1560</v>
      </c>
      <c r="D68" s="32">
        <f t="shared" si="25"/>
        <v>4368</v>
      </c>
      <c r="E68" s="32">
        <f t="shared" si="26"/>
        <v>4.3680000000000003</v>
      </c>
      <c r="F68" s="215">
        <f>('[1]1'!AM74+'[1]2'!AM74+'[1]3'!AM74+'[1]10K'!AM74)/4</f>
        <v>0</v>
      </c>
      <c r="G68" s="215">
        <f>('[1]1'!AN74+'[1]2'!AN74+'[1]3'!AN74+'[1]10K'!AN74)/4</f>
        <v>0</v>
      </c>
      <c r="H68" s="215">
        <f>('[1]1'!AO74+'[1]2'!AO74+'[1]3'!AO74+'[1]10K'!AO74)/4</f>
        <v>0</v>
      </c>
      <c r="I68" s="263">
        <f>(F68*G68*H68)/10000</f>
        <v>0</v>
      </c>
      <c r="J68" s="216">
        <f t="shared" si="23"/>
        <v>208</v>
      </c>
      <c r="K68" s="217">
        <v>104</v>
      </c>
      <c r="L68" s="32">
        <f t="shared" si="15"/>
        <v>312</v>
      </c>
      <c r="M68" s="202">
        <f t="shared" si="27"/>
        <v>71.428571428571416</v>
      </c>
      <c r="N68" s="202">
        <f t="shared" si="24"/>
        <v>0.2</v>
      </c>
      <c r="O68" s="218">
        <f>'[1]1'!F74+'[1]2'!F74+'[1]3'!F74</f>
        <v>0</v>
      </c>
      <c r="P68" s="218">
        <f>'[1]1'!AA74+'[1]2'!AA74+'[1]3'!AA74</f>
        <v>0</v>
      </c>
      <c r="Q68" s="219" t="e">
        <f t="shared" si="16"/>
        <v>#DIV/0!</v>
      </c>
      <c r="R68" s="222">
        <f>0.4+0.1+0.5+0.9+0.9</f>
        <v>2.8</v>
      </c>
      <c r="S68" s="264">
        <f>+R68/D68</f>
        <v>6.4102564102564103E-4</v>
      </c>
      <c r="T68" s="222">
        <f>((1.5+0.4+2.8+1)*17.4)+((7.5+4.9)*11)</f>
        <v>235.57999999999998</v>
      </c>
      <c r="U68" s="222">
        <f>'[1]1'!AR74+'[1]2'!AR74+'[1]3'!AR74</f>
        <v>0</v>
      </c>
      <c r="V68" s="222" t="e">
        <f t="shared" si="29"/>
        <v>#DIV/0!</v>
      </c>
      <c r="W68" s="222"/>
      <c r="X68" s="222"/>
      <c r="Y68" s="218">
        <v>26</v>
      </c>
      <c r="Z68" s="218" t="s">
        <v>83</v>
      </c>
      <c r="AA68" s="222" t="s">
        <v>83</v>
      </c>
      <c r="AB68" s="218">
        <v>21</v>
      </c>
      <c r="AC68" s="222">
        <v>3752.4</v>
      </c>
      <c r="AD68" s="218">
        <v>5</v>
      </c>
      <c r="AE68" s="224">
        <f t="shared" si="30"/>
        <v>88</v>
      </c>
      <c r="AF68" s="222">
        <v>44.4</v>
      </c>
      <c r="AG68" s="222">
        <f t="shared" si="18"/>
        <v>132.4</v>
      </c>
      <c r="AH68" s="222">
        <f t="shared" si="19"/>
        <v>341.12727272727273</v>
      </c>
      <c r="AI68" s="218">
        <f>13*5*60</f>
        <v>3900</v>
      </c>
      <c r="AJ68" s="218">
        <f>(3*60)+20</f>
        <v>200</v>
      </c>
      <c r="AK68" s="222">
        <v>205.7</v>
      </c>
      <c r="AL68" s="222">
        <v>21.9</v>
      </c>
      <c r="AM68" s="222">
        <v>38</v>
      </c>
      <c r="AN68" s="222" t="s">
        <v>83</v>
      </c>
      <c r="AO68" s="218">
        <v>11</v>
      </c>
      <c r="AP68" s="218">
        <v>1</v>
      </c>
      <c r="AQ68" s="222" t="s">
        <v>83</v>
      </c>
      <c r="AR68" s="257">
        <v>12</v>
      </c>
      <c r="AS68" s="226"/>
      <c r="AT68" s="227"/>
      <c r="AU68" s="227"/>
      <c r="AV68" s="227"/>
      <c r="AW68" s="228"/>
    </row>
    <row r="69" spans="1:49" ht="26.25">
      <c r="A69" s="212">
        <v>28</v>
      </c>
      <c r="B69" s="213">
        <f>420+280+1500</f>
        <v>2200</v>
      </c>
      <c r="C69" s="32">
        <f>800+500+70+70+280+210</f>
        <v>1930</v>
      </c>
      <c r="D69" s="32">
        <f t="shared" si="25"/>
        <v>5404</v>
      </c>
      <c r="E69" s="32">
        <f t="shared" si="26"/>
        <v>5.4039999999999999</v>
      </c>
      <c r="F69" s="215">
        <f>('[1]1'!AM75+'[1]2'!AM75+'[1]3'!AM75+'[1]10K'!AM75)/4</f>
        <v>0</v>
      </c>
      <c r="G69" s="215">
        <f>('[1]1'!AN75+'[1]2'!AN75+'[1]3'!AN75+'[1]10K'!AN75)/4</f>
        <v>0</v>
      </c>
      <c r="H69" s="215">
        <f>('[1]1'!AO75+'[1]2'!AO75+'[1]3'!AO75+'[1]10K'!AO75)/4</f>
        <v>0</v>
      </c>
      <c r="I69" s="215">
        <f t="shared" si="28"/>
        <v>0</v>
      </c>
      <c r="J69" s="216">
        <f t="shared" si="23"/>
        <v>200</v>
      </c>
      <c r="K69" s="217">
        <v>103.4</v>
      </c>
      <c r="L69" s="32">
        <f t="shared" si="15"/>
        <v>303.39999999999998</v>
      </c>
      <c r="M69" s="202">
        <f t="shared" si="27"/>
        <v>56.143597335307177</v>
      </c>
      <c r="N69" s="202">
        <f t="shared" si="24"/>
        <v>0.15720207253886009</v>
      </c>
      <c r="O69" s="218">
        <f>'[1]1'!F75+'[1]2'!F75+'[1]3'!F75</f>
        <v>0</v>
      </c>
      <c r="P69" s="218">
        <f>'[1]1'!AA75+'[1]2'!AA75+'[1]3'!AA75</f>
        <v>0</v>
      </c>
      <c r="Q69" s="219" t="e">
        <f t="shared" si="16"/>
        <v>#DIV/0!</v>
      </c>
      <c r="R69" s="222">
        <f>1.4+0.2+0.2+0.2+0.3+1.2+1.2+0.4</f>
        <v>5.1000000000000005</v>
      </c>
      <c r="S69" s="264">
        <f t="shared" si="20"/>
        <v>9.4374537379718739E-4</v>
      </c>
      <c r="T69" s="222">
        <f>((4.01+3.09)*17.4)+((1.1+1.4+8.5+4.9)*11)</f>
        <v>298.44</v>
      </c>
      <c r="U69" s="222">
        <f>'[1]1'!AR75+'[1]2'!AR75+'[1]3'!AR75</f>
        <v>0</v>
      </c>
      <c r="V69" s="222" t="e">
        <f t="shared" si="29"/>
        <v>#DIV/0!</v>
      </c>
      <c r="W69" s="222">
        <v>13.3</v>
      </c>
      <c r="X69" s="222">
        <v>0</v>
      </c>
      <c r="Y69" s="218">
        <v>25</v>
      </c>
      <c r="Z69" s="218"/>
      <c r="AA69" s="222"/>
      <c r="AB69" s="218">
        <v>21</v>
      </c>
      <c r="AC69" s="222">
        <v>5356.2</v>
      </c>
      <c r="AD69" s="218">
        <v>5</v>
      </c>
      <c r="AE69" s="224">
        <f t="shared" si="30"/>
        <v>96</v>
      </c>
      <c r="AF69" s="222">
        <v>50.4</v>
      </c>
      <c r="AG69" s="222">
        <f t="shared" si="18"/>
        <v>146.4</v>
      </c>
      <c r="AH69" s="222">
        <f t="shared" si="19"/>
        <v>446.34999999999997</v>
      </c>
      <c r="AI69" s="218">
        <f>13*5*60</f>
        <v>3900</v>
      </c>
      <c r="AJ69" s="218"/>
      <c r="AK69" s="222">
        <v>275.64999999999998</v>
      </c>
      <c r="AL69" s="222">
        <v>20.6</v>
      </c>
      <c r="AM69" s="222">
        <v>40</v>
      </c>
      <c r="AN69" s="222"/>
      <c r="AO69" s="218">
        <v>12</v>
      </c>
      <c r="AP69" s="218"/>
      <c r="AQ69" s="222"/>
      <c r="AR69" s="257"/>
      <c r="AS69" s="226"/>
      <c r="AT69" s="227"/>
      <c r="AU69" s="227"/>
      <c r="AV69" s="227"/>
      <c r="AW69" s="228"/>
    </row>
    <row r="70" spans="1:49" ht="26.25">
      <c r="A70" s="212">
        <v>29</v>
      </c>
      <c r="B70" s="213">
        <f>420+280+1500</f>
        <v>2200</v>
      </c>
      <c r="C70" s="32">
        <f>400+1100+560+280</f>
        <v>2340</v>
      </c>
      <c r="D70" s="32">
        <f t="shared" si="25"/>
        <v>6552</v>
      </c>
      <c r="E70" s="32">
        <f t="shared" si="26"/>
        <v>6.5519999999999996</v>
      </c>
      <c r="F70" s="215">
        <f>('[1]1'!AM76+'[1]2'!AM76+'[1]3'!AM76+'[1]10K'!AM76)/4</f>
        <v>0</v>
      </c>
      <c r="G70" s="215">
        <f>('[1]1'!AN76+'[1]2'!AN76+'[1]3'!AN76+'[1]10K'!AN76)/4</f>
        <v>0</v>
      </c>
      <c r="H70" s="215">
        <f>('[1]1'!AO76+'[1]2'!AO76+'[1]3'!AO76+'[1]10K'!AO76)/4</f>
        <v>0</v>
      </c>
      <c r="I70" s="215">
        <f t="shared" si="28"/>
        <v>0</v>
      </c>
      <c r="J70" s="216">
        <f t="shared" si="23"/>
        <v>216</v>
      </c>
      <c r="K70" s="217">
        <v>121.2</v>
      </c>
      <c r="L70" s="32">
        <f t="shared" si="15"/>
        <v>337.2</v>
      </c>
      <c r="M70" s="202">
        <f t="shared" si="27"/>
        <v>51.465201465201467</v>
      </c>
      <c r="N70" s="202">
        <f t="shared" si="24"/>
        <v>0.14410256410256408</v>
      </c>
      <c r="O70" s="218">
        <f>'[1]1'!F76+'[1]2'!F76+'[1]3'!F76</f>
        <v>0</v>
      </c>
      <c r="P70" s="218">
        <f>'[1]1'!AA76+'[1]2'!AA76+'[1]3'!AA76</f>
        <v>0</v>
      </c>
      <c r="Q70" s="219" t="e">
        <f t="shared" si="16"/>
        <v>#DIV/0!</v>
      </c>
      <c r="R70" s="222">
        <f>0.4+0.9+1.8+0.8</f>
        <v>3.9000000000000004</v>
      </c>
      <c r="S70" s="264">
        <f t="shared" si="20"/>
        <v>5.9523809523809529E-4</v>
      </c>
      <c r="T70" s="222">
        <f>((2.1+5.8)*17.4)+((9.3+7.09)*11)</f>
        <v>317.75</v>
      </c>
      <c r="U70" s="222">
        <f>'[1]1'!AR76+'[1]2'!AR76+'[1]3'!AR76</f>
        <v>0</v>
      </c>
      <c r="V70" s="222" t="e">
        <f t="shared" si="29"/>
        <v>#DIV/0!</v>
      </c>
      <c r="W70" s="222"/>
      <c r="X70" s="222">
        <v>3</v>
      </c>
      <c r="Y70" s="218">
        <v>27</v>
      </c>
      <c r="Z70" s="218"/>
      <c r="AA70" s="222"/>
      <c r="AB70" s="218">
        <v>21</v>
      </c>
      <c r="AC70" s="222">
        <v>5193</v>
      </c>
      <c r="AD70" s="218">
        <v>5</v>
      </c>
      <c r="AE70" s="224">
        <f t="shared" si="30"/>
        <v>88</v>
      </c>
      <c r="AF70" s="222">
        <v>50.4</v>
      </c>
      <c r="AG70" s="222">
        <f t="shared" si="18"/>
        <v>138.4</v>
      </c>
      <c r="AH70" s="251">
        <f t="shared" si="19"/>
        <v>472.09090909090907</v>
      </c>
      <c r="AI70" s="218">
        <f>13*5*60</f>
        <v>3900</v>
      </c>
      <c r="AJ70" s="218"/>
      <c r="AK70" s="222">
        <v>265.8</v>
      </c>
      <c r="AL70" s="222">
        <v>20.5</v>
      </c>
      <c r="AM70" s="222">
        <v>40</v>
      </c>
      <c r="AN70" s="222"/>
      <c r="AO70" s="218">
        <v>11</v>
      </c>
      <c r="AP70" s="218">
        <v>1</v>
      </c>
      <c r="AQ70" s="222"/>
      <c r="AR70" s="257"/>
      <c r="AS70" s="226"/>
      <c r="AT70" s="227"/>
      <c r="AU70" s="227"/>
      <c r="AV70" s="227"/>
      <c r="AW70" s="228"/>
    </row>
    <row r="71" spans="1:49" ht="26.25">
      <c r="A71" s="212">
        <v>30</v>
      </c>
      <c r="B71" s="213">
        <v>2700</v>
      </c>
      <c r="C71" s="32">
        <f>400+599+498+100+240+280+210</f>
        <v>2327</v>
      </c>
      <c r="D71" s="32">
        <f t="shared" si="25"/>
        <v>6515.5999999999995</v>
      </c>
      <c r="E71" s="32">
        <f t="shared" si="26"/>
        <v>6.5155999999999992</v>
      </c>
      <c r="F71" s="215">
        <f>('[1]1'!AM77+'[1]2'!AM77+'[1]3'!AM77+'[1]10K'!AM77)/4</f>
        <v>0</v>
      </c>
      <c r="G71" s="215">
        <f>('[1]1'!AN77+'[1]2'!AN77+'[1]3'!AN77+'[1]10K'!AN77)/4</f>
        <v>0</v>
      </c>
      <c r="H71" s="215">
        <f>('[1]1'!AO77+'[1]2'!AO77+'[1]3'!AO77+'[1]10K'!AO77)/4</f>
        <v>0</v>
      </c>
      <c r="I71" s="215">
        <f t="shared" si="28"/>
        <v>0</v>
      </c>
      <c r="J71" s="216">
        <f t="shared" si="23"/>
        <v>200</v>
      </c>
      <c r="K71" s="217">
        <v>103.4</v>
      </c>
      <c r="L71" s="32">
        <f t="shared" si="15"/>
        <v>303.39999999999998</v>
      </c>
      <c r="M71" s="202">
        <f t="shared" si="27"/>
        <v>46.565166676898521</v>
      </c>
      <c r="N71" s="202">
        <f t="shared" si="24"/>
        <v>0.13038246669531584</v>
      </c>
      <c r="O71" s="218">
        <f>'[1]1'!F77+'[1]2'!F77+'[1]3'!F77</f>
        <v>0</v>
      </c>
      <c r="P71" s="218">
        <f>'[1]1'!AA77+'[1]2'!AA77+'[1]3'!AA77</f>
        <v>0</v>
      </c>
      <c r="Q71" s="219" t="e">
        <f t="shared" si="16"/>
        <v>#DIV/0!</v>
      </c>
      <c r="R71" s="222">
        <f>0.4+0.7+1+0.6</f>
        <v>2.7</v>
      </c>
      <c r="S71" s="254">
        <f t="shared" si="20"/>
        <v>4.1439007919454854E-4</v>
      </c>
      <c r="T71" s="222">
        <f>((2+6.1+0.8)*17.4)+((5.8+5.5)*11)</f>
        <v>279.15999999999997</v>
      </c>
      <c r="U71" s="222">
        <f>'[1]1'!AR77+'[1]2'!AR77+'[1]3'!AR77</f>
        <v>0</v>
      </c>
      <c r="V71" s="222" t="e">
        <f t="shared" si="29"/>
        <v>#DIV/0!</v>
      </c>
      <c r="W71" s="222"/>
      <c r="X71" s="222"/>
      <c r="Y71" s="218">
        <v>25</v>
      </c>
      <c r="Z71" s="218">
        <v>3</v>
      </c>
      <c r="AA71" s="222"/>
      <c r="AB71" s="218">
        <v>21</v>
      </c>
      <c r="AC71" s="222"/>
      <c r="AD71" s="218"/>
      <c r="AE71" s="224">
        <f t="shared" si="30"/>
        <v>0</v>
      </c>
      <c r="AF71" s="222"/>
      <c r="AG71" s="222">
        <f t="shared" si="18"/>
        <v>0</v>
      </c>
      <c r="AH71" s="222" t="e">
        <f t="shared" si="19"/>
        <v>#DIV/0!</v>
      </c>
      <c r="AI71" s="218"/>
      <c r="AJ71" s="218"/>
      <c r="AK71" s="222"/>
      <c r="AL71" s="222"/>
      <c r="AM71" s="222"/>
      <c r="AN71" s="222"/>
      <c r="AO71" s="218"/>
      <c r="AP71" s="218"/>
      <c r="AQ71" s="222"/>
      <c r="AR71" s="257"/>
      <c r="AS71" s="226"/>
      <c r="AT71" s="227"/>
      <c r="AU71" s="227"/>
      <c r="AV71" s="227"/>
      <c r="AW71" s="228"/>
    </row>
    <row r="72" spans="1:49" ht="26.25">
      <c r="A72" s="212">
        <v>31</v>
      </c>
      <c r="B72" s="213">
        <f>420+280+1500</f>
        <v>2200</v>
      </c>
      <c r="C72" s="32">
        <f>490+70+210+160+900+500</f>
        <v>2330</v>
      </c>
      <c r="D72" s="32">
        <f t="shared" si="25"/>
        <v>6524</v>
      </c>
      <c r="E72" s="32">
        <f t="shared" si="26"/>
        <v>6.524</v>
      </c>
      <c r="F72" s="215">
        <f>('[1]1'!AM78+'[1]2'!AM78+'[1]3'!AM78+'[1]10K'!AM78)/4</f>
        <v>0</v>
      </c>
      <c r="G72" s="215">
        <f>('[1]1'!AN78+'[1]2'!AN78+'[1]3'!AN78+'[1]10K'!AN78)/4</f>
        <v>0</v>
      </c>
      <c r="H72" s="215">
        <f>('[1]1'!AO78+'[1]2'!AO78+'[1]3'!AO78+'[1]10K'!AO78)/4</f>
        <v>0</v>
      </c>
      <c r="I72" s="215">
        <f t="shared" si="28"/>
        <v>0</v>
      </c>
      <c r="J72" s="216">
        <f t="shared" si="23"/>
        <v>208</v>
      </c>
      <c r="K72" s="217">
        <v>113</v>
      </c>
      <c r="L72" s="32">
        <f t="shared" si="15"/>
        <v>321</v>
      </c>
      <c r="M72" s="202">
        <f t="shared" si="27"/>
        <v>49.202942979767016</v>
      </c>
      <c r="N72" s="202">
        <f t="shared" si="24"/>
        <v>0.13776824034334764</v>
      </c>
      <c r="O72" s="218">
        <f>'[1]1'!F78+'[1]2'!F78+'[1]3'!F78</f>
        <v>0</v>
      </c>
      <c r="P72" s="218">
        <f>'[1]1'!AA78+'[1]2'!AA78+'[1]3'!AA78</f>
        <v>0</v>
      </c>
      <c r="Q72" s="219" t="e">
        <f t="shared" si="16"/>
        <v>#DIV/0!</v>
      </c>
      <c r="R72" s="222">
        <f>1.5+1.5+0.3+1</f>
        <v>4.3</v>
      </c>
      <c r="S72" s="254">
        <f t="shared" si="20"/>
        <v>6.5910484365419987E-4</v>
      </c>
      <c r="T72" s="222">
        <f>44+4+55+9+55+10.5+104.4+10+4.9</f>
        <v>296.79999999999995</v>
      </c>
      <c r="U72" s="222">
        <f>'[1]1'!AR78+'[1]2'!AR78+'[1]3'!AR78</f>
        <v>0</v>
      </c>
      <c r="V72" s="222" t="e">
        <f t="shared" si="29"/>
        <v>#DIV/0!</v>
      </c>
      <c r="W72" s="222"/>
      <c r="X72" s="222"/>
      <c r="Y72" s="218">
        <v>26</v>
      </c>
      <c r="Z72" s="218">
        <v>2</v>
      </c>
      <c r="AA72" s="222"/>
      <c r="AB72" s="218">
        <v>21</v>
      </c>
      <c r="AC72" s="222"/>
      <c r="AD72" s="218"/>
      <c r="AE72" s="224">
        <f t="shared" si="30"/>
        <v>0</v>
      </c>
      <c r="AF72" s="222"/>
      <c r="AG72" s="222">
        <f t="shared" si="18"/>
        <v>0</v>
      </c>
      <c r="AH72" s="222" t="e">
        <f t="shared" si="19"/>
        <v>#DIV/0!</v>
      </c>
      <c r="AI72" s="218"/>
      <c r="AJ72" s="218"/>
      <c r="AK72" s="222"/>
      <c r="AL72" s="222"/>
      <c r="AM72" s="222"/>
      <c r="AN72" s="222"/>
      <c r="AO72" s="218"/>
      <c r="AP72" s="218"/>
      <c r="AQ72" s="222"/>
      <c r="AR72" s="257"/>
      <c r="AS72" s="226"/>
      <c r="AT72" s="227"/>
      <c r="AU72" s="227"/>
      <c r="AV72" s="227"/>
      <c r="AW72" s="228"/>
    </row>
    <row r="73" spans="1:49" ht="27" thickBot="1">
      <c r="A73" s="265" t="s">
        <v>84</v>
      </c>
      <c r="B73" s="266">
        <f>SUM(B42:B72)</f>
        <v>32630</v>
      </c>
      <c r="C73" s="267">
        <f t="shared" ref="C73:AR73" si="31">SUM(C42:C72)</f>
        <v>31127</v>
      </c>
      <c r="D73" s="268">
        <f t="shared" si="31"/>
        <v>87155.6</v>
      </c>
      <c r="E73" s="268">
        <f>SUM(E44:E72)</f>
        <v>87.155600000000021</v>
      </c>
      <c r="F73" s="269">
        <f t="shared" si="31"/>
        <v>0</v>
      </c>
      <c r="G73" s="269">
        <f t="shared" si="31"/>
        <v>0</v>
      </c>
      <c r="H73" s="269">
        <f t="shared" si="31"/>
        <v>0</v>
      </c>
      <c r="I73" s="269">
        <f t="shared" si="31"/>
        <v>0</v>
      </c>
      <c r="J73" s="270">
        <f t="shared" si="31"/>
        <v>4000</v>
      </c>
      <c r="K73" s="270">
        <f t="shared" si="31"/>
        <v>1890.0000000000002</v>
      </c>
      <c r="L73" s="270">
        <f t="shared" si="31"/>
        <v>5889.9999999999991</v>
      </c>
      <c r="M73" s="222">
        <f>L73/E73</f>
        <v>67.580281703068962</v>
      </c>
      <c r="N73" s="202">
        <f>L73/C73</f>
        <v>0.18922478876859317</v>
      </c>
      <c r="O73" s="271">
        <f t="shared" si="31"/>
        <v>0</v>
      </c>
      <c r="P73" s="271">
        <f t="shared" si="31"/>
        <v>0</v>
      </c>
      <c r="Q73" s="271" t="e">
        <f t="shared" si="31"/>
        <v>#DIV/0!</v>
      </c>
      <c r="R73" s="272">
        <f t="shared" si="31"/>
        <v>64.7</v>
      </c>
      <c r="S73" s="273">
        <f>+R73/D73</f>
        <v>7.4235046285035041E-4</v>
      </c>
      <c r="T73" s="274">
        <f t="shared" si="31"/>
        <v>4395.286000000001</v>
      </c>
      <c r="U73" s="274">
        <f t="shared" si="31"/>
        <v>0</v>
      </c>
      <c r="V73" s="274" t="e">
        <f t="shared" si="31"/>
        <v>#DIV/0!</v>
      </c>
      <c r="W73" s="275">
        <f t="shared" si="31"/>
        <v>74.500000000000014</v>
      </c>
      <c r="X73" s="275">
        <f t="shared" si="31"/>
        <v>6.2</v>
      </c>
      <c r="Y73" s="276">
        <f t="shared" si="31"/>
        <v>500</v>
      </c>
      <c r="Z73" s="276">
        <f t="shared" si="31"/>
        <v>23</v>
      </c>
      <c r="AA73" s="276">
        <f t="shared" si="31"/>
        <v>0</v>
      </c>
      <c r="AB73" s="276">
        <f t="shared" si="31"/>
        <v>630</v>
      </c>
      <c r="AC73" s="277">
        <f t="shared" si="31"/>
        <v>80729.599999999991</v>
      </c>
      <c r="AD73" s="278">
        <f t="shared" si="31"/>
        <v>92</v>
      </c>
      <c r="AE73" s="279">
        <f t="shared" si="31"/>
        <v>1800</v>
      </c>
      <c r="AF73" s="276">
        <f t="shared" si="31"/>
        <v>749.59999999999991</v>
      </c>
      <c r="AG73" s="276">
        <f t="shared" si="31"/>
        <v>2549.6000000000004</v>
      </c>
      <c r="AH73" s="276" t="e">
        <f t="shared" si="31"/>
        <v>#DIV/0!</v>
      </c>
      <c r="AI73" s="280">
        <f t="shared" si="31"/>
        <v>61740</v>
      </c>
      <c r="AJ73" s="280">
        <f t="shared" si="31"/>
        <v>710</v>
      </c>
      <c r="AK73" s="272">
        <f t="shared" si="31"/>
        <v>5014</v>
      </c>
      <c r="AL73" s="272">
        <f t="shared" si="31"/>
        <v>448.69999999999993</v>
      </c>
      <c r="AM73" s="240">
        <f t="shared" si="31"/>
        <v>598</v>
      </c>
      <c r="AN73" s="281">
        <f t="shared" si="31"/>
        <v>0</v>
      </c>
      <c r="AO73" s="282">
        <f t="shared" si="31"/>
        <v>225</v>
      </c>
      <c r="AP73" s="282">
        <f t="shared" si="31"/>
        <v>3</v>
      </c>
      <c r="AQ73" s="271">
        <f t="shared" si="31"/>
        <v>0</v>
      </c>
      <c r="AR73" s="283">
        <f t="shared" si="31"/>
        <v>300</v>
      </c>
      <c r="AS73" s="284"/>
      <c r="AT73" s="172"/>
      <c r="AU73" s="172"/>
      <c r="AV73" s="172"/>
      <c r="AW73" s="173"/>
    </row>
    <row r="75" spans="1:49">
      <c r="B75" s="356">
        <f>C73/B73*100</f>
        <v>95.393809377873112</v>
      </c>
      <c r="L75" s="30">
        <f>4339+5890+2549</f>
        <v>12778</v>
      </c>
    </row>
  </sheetData>
  <mergeCells count="28">
    <mergeCell ref="AO40:AO41"/>
    <mergeCell ref="AP40:AP41"/>
    <mergeCell ref="AQ40:AQ41"/>
    <mergeCell ref="AR40:AR41"/>
    <mergeCell ref="AS40:AW41"/>
    <mergeCell ref="AK40:AL40"/>
    <mergeCell ref="B38:AB39"/>
    <mergeCell ref="AC38:AR39"/>
    <mergeCell ref="F40:F41"/>
    <mergeCell ref="G40:G41"/>
    <mergeCell ref="H40:H41"/>
    <mergeCell ref="I40:I41"/>
    <mergeCell ref="J40:M40"/>
    <mergeCell ref="O40:P40"/>
    <mergeCell ref="T40:V40"/>
    <mergeCell ref="Y40:Y41"/>
    <mergeCell ref="Z40:Z41"/>
    <mergeCell ref="AA40:AA41"/>
    <mergeCell ref="AB40:AB41"/>
    <mergeCell ref="AE40:AH40"/>
    <mergeCell ref="AI40:AJ40"/>
    <mergeCell ref="B1:AB2"/>
    <mergeCell ref="I3:L3"/>
    <mergeCell ref="M3:N3"/>
    <mergeCell ref="U3:U4"/>
    <mergeCell ref="V3:V4"/>
    <mergeCell ref="W3:W4"/>
    <mergeCell ref="Y3:AB3"/>
  </mergeCells>
  <pageMargins left="0.2" right="0.2" top="0.12" bottom="0.28000000000000003" header="0.16" footer="0.3"/>
  <pageSetup paperSize="9" scale="4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51AE-436F-4ADB-836D-22A655C858A1}">
  <sheetPr>
    <tabColor theme="0"/>
  </sheetPr>
  <dimension ref="A1:AY75"/>
  <sheetViews>
    <sheetView zoomScale="70" zoomScaleNormal="70" workbookViewId="0">
      <pane xSplit="1" ySplit="4" topLeftCell="C68" activePane="bottomRight" state="frozen"/>
      <selection pane="topRight" activeCell="B1" sqref="B1"/>
      <selection pane="bottomLeft" activeCell="A5" sqref="A5"/>
      <selection pane="bottomRight" activeCell="P79" sqref="P79"/>
    </sheetView>
  </sheetViews>
  <sheetFormatPr defaultRowHeight="15"/>
  <cols>
    <col min="1" max="1" width="9.140625" style="30"/>
    <col min="2" max="2" width="11.140625" style="30" bestFit="1" customWidth="1"/>
    <col min="3" max="3" width="12.140625" style="30" bestFit="1" customWidth="1"/>
    <col min="4" max="4" width="10.7109375" style="30" bestFit="1" customWidth="1"/>
    <col min="5" max="5" width="12.140625" style="30" bestFit="1" customWidth="1"/>
    <col min="6" max="7" width="9.7109375" style="30" customWidth="1"/>
    <col min="8" max="8" width="9.7109375" style="30" bestFit="1" customWidth="1"/>
    <col min="9" max="9" width="12.5703125" style="30" customWidth="1"/>
    <col min="10" max="10" width="9.7109375" style="30" customWidth="1"/>
    <col min="11" max="12" width="9.140625" style="30"/>
    <col min="13" max="13" width="10.140625" style="30" customWidth="1"/>
    <col min="14" max="14" width="9.140625" style="30"/>
    <col min="15" max="15" width="10.5703125" style="30" bestFit="1" customWidth="1"/>
    <col min="16" max="18" width="12.7109375" style="30" customWidth="1"/>
    <col min="19" max="22" width="9.140625" style="30"/>
    <col min="23" max="23" width="10" style="30" bestFit="1" customWidth="1"/>
    <col min="24" max="30" width="9.140625" style="30"/>
    <col min="31" max="31" width="10.5703125" style="30" customWidth="1"/>
    <col min="32" max="43" width="9.140625" style="30"/>
    <col min="44" max="44" width="11.140625" style="30" bestFit="1" customWidth="1"/>
    <col min="45" max="45" width="9.140625" style="30"/>
    <col min="46" max="46" width="13.42578125" style="30" customWidth="1"/>
    <col min="47" max="246" width="9.140625" style="30"/>
    <col min="247" max="247" width="13.7109375" style="30" customWidth="1"/>
    <col min="248" max="248" width="14.5703125" style="30" customWidth="1"/>
    <col min="249" max="249" width="14.7109375" style="30" customWidth="1"/>
    <col min="250" max="250" width="14.5703125" style="30" customWidth="1"/>
    <col min="251" max="251" width="11" style="30" customWidth="1"/>
    <col min="252" max="253" width="10.42578125" style="30" customWidth="1"/>
    <col min="254" max="255" width="11" style="30" customWidth="1"/>
    <col min="256" max="256" width="14.7109375" style="30" customWidth="1"/>
    <col min="257" max="257" width="12.28515625" style="30" customWidth="1"/>
    <col min="258" max="258" width="10.42578125" style="30" customWidth="1"/>
    <col min="259" max="261" width="9.140625" style="30"/>
    <col min="262" max="262" width="12" style="30" customWidth="1"/>
    <col min="263" max="263" width="13.5703125" style="30" customWidth="1"/>
    <col min="264" max="264" width="16.85546875" style="30" bestFit="1" customWidth="1"/>
    <col min="265" max="267" width="7.42578125" style="30" customWidth="1"/>
    <col min="268" max="268" width="8.7109375" style="30" bestFit="1" customWidth="1"/>
    <col min="269" max="270" width="11.42578125" style="30" customWidth="1"/>
    <col min="271" max="271" width="14.140625" style="30" customWidth="1"/>
    <col min="272" max="272" width="13.42578125" style="30" customWidth="1"/>
    <col min="273" max="277" width="13" style="30" customWidth="1"/>
    <col min="278" max="278" width="11.42578125" style="30" customWidth="1"/>
    <col min="279" max="279" width="15.5703125" style="30" customWidth="1"/>
    <col min="280" max="502" width="9.140625" style="30"/>
    <col min="503" max="503" width="13.7109375" style="30" customWidth="1"/>
    <col min="504" max="504" width="14.5703125" style="30" customWidth="1"/>
    <col min="505" max="505" width="14.7109375" style="30" customWidth="1"/>
    <col min="506" max="506" width="14.5703125" style="30" customWidth="1"/>
    <col min="507" max="507" width="11" style="30" customWidth="1"/>
    <col min="508" max="509" width="10.42578125" style="30" customWidth="1"/>
    <col min="510" max="511" width="11" style="30" customWidth="1"/>
    <col min="512" max="512" width="14.7109375" style="30" customWidth="1"/>
    <col min="513" max="513" width="12.28515625" style="30" customWidth="1"/>
    <col min="514" max="514" width="10.42578125" style="30" customWidth="1"/>
    <col min="515" max="517" width="9.140625" style="30"/>
    <col min="518" max="518" width="12" style="30" customWidth="1"/>
    <col min="519" max="519" width="13.5703125" style="30" customWidth="1"/>
    <col min="520" max="520" width="16.85546875" style="30" bestFit="1" customWidth="1"/>
    <col min="521" max="523" width="7.42578125" style="30" customWidth="1"/>
    <col min="524" max="524" width="8.7109375" style="30" bestFit="1" customWidth="1"/>
    <col min="525" max="526" width="11.42578125" style="30" customWidth="1"/>
    <col min="527" max="527" width="14.140625" style="30" customWidth="1"/>
    <col min="528" max="528" width="13.42578125" style="30" customWidth="1"/>
    <col min="529" max="533" width="13" style="30" customWidth="1"/>
    <col min="534" max="534" width="11.42578125" style="30" customWidth="1"/>
    <col min="535" max="535" width="15.5703125" style="30" customWidth="1"/>
    <col min="536" max="758" width="9.140625" style="30"/>
    <col min="759" max="759" width="13.7109375" style="30" customWidth="1"/>
    <col min="760" max="760" width="14.5703125" style="30" customWidth="1"/>
    <col min="761" max="761" width="14.7109375" style="30" customWidth="1"/>
    <col min="762" max="762" width="14.5703125" style="30" customWidth="1"/>
    <col min="763" max="763" width="11" style="30" customWidth="1"/>
    <col min="764" max="765" width="10.42578125" style="30" customWidth="1"/>
    <col min="766" max="767" width="11" style="30" customWidth="1"/>
    <col min="768" max="768" width="14.7109375" style="30" customWidth="1"/>
    <col min="769" max="769" width="12.28515625" style="30" customWidth="1"/>
    <col min="770" max="770" width="10.42578125" style="30" customWidth="1"/>
    <col min="771" max="773" width="9.140625" style="30"/>
    <col min="774" max="774" width="12" style="30" customWidth="1"/>
    <col min="775" max="775" width="13.5703125" style="30" customWidth="1"/>
    <col min="776" max="776" width="16.85546875" style="30" bestFit="1" customWidth="1"/>
    <col min="777" max="779" width="7.42578125" style="30" customWidth="1"/>
    <col min="780" max="780" width="8.7109375" style="30" bestFit="1" customWidth="1"/>
    <col min="781" max="782" width="11.42578125" style="30" customWidth="1"/>
    <col min="783" max="783" width="14.140625" style="30" customWidth="1"/>
    <col min="784" max="784" width="13.42578125" style="30" customWidth="1"/>
    <col min="785" max="789" width="13" style="30" customWidth="1"/>
    <col min="790" max="790" width="11.42578125" style="30" customWidth="1"/>
    <col min="791" max="791" width="15.5703125" style="30" customWidth="1"/>
    <col min="792" max="1014" width="9.140625" style="30"/>
    <col min="1015" max="1015" width="13.7109375" style="30" customWidth="1"/>
    <col min="1016" max="1016" width="14.5703125" style="30" customWidth="1"/>
    <col min="1017" max="1017" width="14.7109375" style="30" customWidth="1"/>
    <col min="1018" max="1018" width="14.5703125" style="30" customWidth="1"/>
    <col min="1019" max="1019" width="11" style="30" customWidth="1"/>
    <col min="1020" max="1021" width="10.42578125" style="30" customWidth="1"/>
    <col min="1022" max="1023" width="11" style="30" customWidth="1"/>
    <col min="1024" max="1024" width="14.7109375" style="30" customWidth="1"/>
    <col min="1025" max="1025" width="12.28515625" style="30" customWidth="1"/>
    <col min="1026" max="1026" width="10.42578125" style="30" customWidth="1"/>
    <col min="1027" max="1029" width="9.140625" style="30"/>
    <col min="1030" max="1030" width="12" style="30" customWidth="1"/>
    <col min="1031" max="1031" width="13.5703125" style="30" customWidth="1"/>
    <col min="1032" max="1032" width="16.85546875" style="30" bestFit="1" customWidth="1"/>
    <col min="1033" max="1035" width="7.42578125" style="30" customWidth="1"/>
    <col min="1036" max="1036" width="8.7109375" style="30" bestFit="1" customWidth="1"/>
    <col min="1037" max="1038" width="11.42578125" style="30" customWidth="1"/>
    <col min="1039" max="1039" width="14.140625" style="30" customWidth="1"/>
    <col min="1040" max="1040" width="13.42578125" style="30" customWidth="1"/>
    <col min="1041" max="1045" width="13" style="30" customWidth="1"/>
    <col min="1046" max="1046" width="11.42578125" style="30" customWidth="1"/>
    <col min="1047" max="1047" width="15.5703125" style="30" customWidth="1"/>
    <col min="1048" max="1270" width="9.140625" style="30"/>
    <col min="1271" max="1271" width="13.7109375" style="30" customWidth="1"/>
    <col min="1272" max="1272" width="14.5703125" style="30" customWidth="1"/>
    <col min="1273" max="1273" width="14.7109375" style="30" customWidth="1"/>
    <col min="1274" max="1274" width="14.5703125" style="30" customWidth="1"/>
    <col min="1275" max="1275" width="11" style="30" customWidth="1"/>
    <col min="1276" max="1277" width="10.42578125" style="30" customWidth="1"/>
    <col min="1278" max="1279" width="11" style="30" customWidth="1"/>
    <col min="1280" max="1280" width="14.7109375" style="30" customWidth="1"/>
    <col min="1281" max="1281" width="12.28515625" style="30" customWidth="1"/>
    <col min="1282" max="1282" width="10.42578125" style="30" customWidth="1"/>
    <col min="1283" max="1285" width="9.140625" style="30"/>
    <col min="1286" max="1286" width="12" style="30" customWidth="1"/>
    <col min="1287" max="1287" width="13.5703125" style="30" customWidth="1"/>
    <col min="1288" max="1288" width="16.85546875" style="30" bestFit="1" customWidth="1"/>
    <col min="1289" max="1291" width="7.42578125" style="30" customWidth="1"/>
    <col min="1292" max="1292" width="8.7109375" style="30" bestFit="1" customWidth="1"/>
    <col min="1293" max="1294" width="11.42578125" style="30" customWidth="1"/>
    <col min="1295" max="1295" width="14.140625" style="30" customWidth="1"/>
    <col min="1296" max="1296" width="13.42578125" style="30" customWidth="1"/>
    <col min="1297" max="1301" width="13" style="30" customWidth="1"/>
    <col min="1302" max="1302" width="11.42578125" style="30" customWidth="1"/>
    <col min="1303" max="1303" width="15.5703125" style="30" customWidth="1"/>
    <col min="1304" max="1526" width="9.140625" style="30"/>
    <col min="1527" max="1527" width="13.7109375" style="30" customWidth="1"/>
    <col min="1528" max="1528" width="14.5703125" style="30" customWidth="1"/>
    <col min="1529" max="1529" width="14.7109375" style="30" customWidth="1"/>
    <col min="1530" max="1530" width="14.5703125" style="30" customWidth="1"/>
    <col min="1531" max="1531" width="11" style="30" customWidth="1"/>
    <col min="1532" max="1533" width="10.42578125" style="30" customWidth="1"/>
    <col min="1534" max="1535" width="11" style="30" customWidth="1"/>
    <col min="1536" max="1536" width="14.7109375" style="30" customWidth="1"/>
    <col min="1537" max="1537" width="12.28515625" style="30" customWidth="1"/>
    <col min="1538" max="1538" width="10.42578125" style="30" customWidth="1"/>
    <col min="1539" max="1541" width="9.140625" style="30"/>
    <col min="1542" max="1542" width="12" style="30" customWidth="1"/>
    <col min="1543" max="1543" width="13.5703125" style="30" customWidth="1"/>
    <col min="1544" max="1544" width="16.85546875" style="30" bestFit="1" customWidth="1"/>
    <col min="1545" max="1547" width="7.42578125" style="30" customWidth="1"/>
    <col min="1548" max="1548" width="8.7109375" style="30" bestFit="1" customWidth="1"/>
    <col min="1549" max="1550" width="11.42578125" style="30" customWidth="1"/>
    <col min="1551" max="1551" width="14.140625" style="30" customWidth="1"/>
    <col min="1552" max="1552" width="13.42578125" style="30" customWidth="1"/>
    <col min="1553" max="1557" width="13" style="30" customWidth="1"/>
    <col min="1558" max="1558" width="11.42578125" style="30" customWidth="1"/>
    <col min="1559" max="1559" width="15.5703125" style="30" customWidth="1"/>
    <col min="1560" max="1782" width="9.140625" style="30"/>
    <col min="1783" max="1783" width="13.7109375" style="30" customWidth="1"/>
    <col min="1784" max="1784" width="14.5703125" style="30" customWidth="1"/>
    <col min="1785" max="1785" width="14.7109375" style="30" customWidth="1"/>
    <col min="1786" max="1786" width="14.5703125" style="30" customWidth="1"/>
    <col min="1787" max="1787" width="11" style="30" customWidth="1"/>
    <col min="1788" max="1789" width="10.42578125" style="30" customWidth="1"/>
    <col min="1790" max="1791" width="11" style="30" customWidth="1"/>
    <col min="1792" max="1792" width="14.7109375" style="30" customWidth="1"/>
    <col min="1793" max="1793" width="12.28515625" style="30" customWidth="1"/>
    <col min="1794" max="1794" width="10.42578125" style="30" customWidth="1"/>
    <col min="1795" max="1797" width="9.140625" style="30"/>
    <col min="1798" max="1798" width="12" style="30" customWidth="1"/>
    <col min="1799" max="1799" width="13.5703125" style="30" customWidth="1"/>
    <col min="1800" max="1800" width="16.85546875" style="30" bestFit="1" customWidth="1"/>
    <col min="1801" max="1803" width="7.42578125" style="30" customWidth="1"/>
    <col min="1804" max="1804" width="8.7109375" style="30" bestFit="1" customWidth="1"/>
    <col min="1805" max="1806" width="11.42578125" style="30" customWidth="1"/>
    <col min="1807" max="1807" width="14.140625" style="30" customWidth="1"/>
    <col min="1808" max="1808" width="13.42578125" style="30" customWidth="1"/>
    <col min="1809" max="1813" width="13" style="30" customWidth="1"/>
    <col min="1814" max="1814" width="11.42578125" style="30" customWidth="1"/>
    <col min="1815" max="1815" width="15.5703125" style="30" customWidth="1"/>
    <col min="1816" max="2038" width="9.140625" style="30"/>
    <col min="2039" max="2039" width="13.7109375" style="30" customWidth="1"/>
    <col min="2040" max="2040" width="14.5703125" style="30" customWidth="1"/>
    <col min="2041" max="2041" width="14.7109375" style="30" customWidth="1"/>
    <col min="2042" max="2042" width="14.5703125" style="30" customWidth="1"/>
    <col min="2043" max="2043" width="11" style="30" customWidth="1"/>
    <col min="2044" max="2045" width="10.42578125" style="30" customWidth="1"/>
    <col min="2046" max="2047" width="11" style="30" customWidth="1"/>
    <col min="2048" max="2048" width="14.7109375" style="30" customWidth="1"/>
    <col min="2049" max="2049" width="12.28515625" style="30" customWidth="1"/>
    <col min="2050" max="2050" width="10.42578125" style="30" customWidth="1"/>
    <col min="2051" max="2053" width="9.140625" style="30"/>
    <col min="2054" max="2054" width="12" style="30" customWidth="1"/>
    <col min="2055" max="2055" width="13.5703125" style="30" customWidth="1"/>
    <col min="2056" max="2056" width="16.85546875" style="30" bestFit="1" customWidth="1"/>
    <col min="2057" max="2059" width="7.42578125" style="30" customWidth="1"/>
    <col min="2060" max="2060" width="8.7109375" style="30" bestFit="1" customWidth="1"/>
    <col min="2061" max="2062" width="11.42578125" style="30" customWidth="1"/>
    <col min="2063" max="2063" width="14.140625" style="30" customWidth="1"/>
    <col min="2064" max="2064" width="13.42578125" style="30" customWidth="1"/>
    <col min="2065" max="2069" width="13" style="30" customWidth="1"/>
    <col min="2070" max="2070" width="11.42578125" style="30" customWidth="1"/>
    <col min="2071" max="2071" width="15.5703125" style="30" customWidth="1"/>
    <col min="2072" max="2294" width="9.140625" style="30"/>
    <col min="2295" max="2295" width="13.7109375" style="30" customWidth="1"/>
    <col min="2296" max="2296" width="14.5703125" style="30" customWidth="1"/>
    <col min="2297" max="2297" width="14.7109375" style="30" customWidth="1"/>
    <col min="2298" max="2298" width="14.5703125" style="30" customWidth="1"/>
    <col min="2299" max="2299" width="11" style="30" customWidth="1"/>
    <col min="2300" max="2301" width="10.42578125" style="30" customWidth="1"/>
    <col min="2302" max="2303" width="11" style="30" customWidth="1"/>
    <col min="2304" max="2304" width="14.7109375" style="30" customWidth="1"/>
    <col min="2305" max="2305" width="12.28515625" style="30" customWidth="1"/>
    <col min="2306" max="2306" width="10.42578125" style="30" customWidth="1"/>
    <col min="2307" max="2309" width="9.140625" style="30"/>
    <col min="2310" max="2310" width="12" style="30" customWidth="1"/>
    <col min="2311" max="2311" width="13.5703125" style="30" customWidth="1"/>
    <col min="2312" max="2312" width="16.85546875" style="30" bestFit="1" customWidth="1"/>
    <col min="2313" max="2315" width="7.42578125" style="30" customWidth="1"/>
    <col min="2316" max="2316" width="8.7109375" style="30" bestFit="1" customWidth="1"/>
    <col min="2317" max="2318" width="11.42578125" style="30" customWidth="1"/>
    <col min="2319" max="2319" width="14.140625" style="30" customWidth="1"/>
    <col min="2320" max="2320" width="13.42578125" style="30" customWidth="1"/>
    <col min="2321" max="2325" width="13" style="30" customWidth="1"/>
    <col min="2326" max="2326" width="11.42578125" style="30" customWidth="1"/>
    <col min="2327" max="2327" width="15.5703125" style="30" customWidth="1"/>
    <col min="2328" max="2550" width="9.140625" style="30"/>
    <col min="2551" max="2551" width="13.7109375" style="30" customWidth="1"/>
    <col min="2552" max="2552" width="14.5703125" style="30" customWidth="1"/>
    <col min="2553" max="2553" width="14.7109375" style="30" customWidth="1"/>
    <col min="2554" max="2554" width="14.5703125" style="30" customWidth="1"/>
    <col min="2555" max="2555" width="11" style="30" customWidth="1"/>
    <col min="2556" max="2557" width="10.42578125" style="30" customWidth="1"/>
    <col min="2558" max="2559" width="11" style="30" customWidth="1"/>
    <col min="2560" max="2560" width="14.7109375" style="30" customWidth="1"/>
    <col min="2561" max="2561" width="12.28515625" style="30" customWidth="1"/>
    <col min="2562" max="2562" width="10.42578125" style="30" customWidth="1"/>
    <col min="2563" max="2565" width="9.140625" style="30"/>
    <col min="2566" max="2566" width="12" style="30" customWidth="1"/>
    <col min="2567" max="2567" width="13.5703125" style="30" customWidth="1"/>
    <col min="2568" max="2568" width="16.85546875" style="30" bestFit="1" customWidth="1"/>
    <col min="2569" max="2571" width="7.42578125" style="30" customWidth="1"/>
    <col min="2572" max="2572" width="8.7109375" style="30" bestFit="1" customWidth="1"/>
    <col min="2573" max="2574" width="11.42578125" style="30" customWidth="1"/>
    <col min="2575" max="2575" width="14.140625" style="30" customWidth="1"/>
    <col min="2576" max="2576" width="13.42578125" style="30" customWidth="1"/>
    <col min="2577" max="2581" width="13" style="30" customWidth="1"/>
    <col min="2582" max="2582" width="11.42578125" style="30" customWidth="1"/>
    <col min="2583" max="2583" width="15.5703125" style="30" customWidth="1"/>
    <col min="2584" max="2806" width="9.140625" style="30"/>
    <col min="2807" max="2807" width="13.7109375" style="30" customWidth="1"/>
    <col min="2808" max="2808" width="14.5703125" style="30" customWidth="1"/>
    <col min="2809" max="2809" width="14.7109375" style="30" customWidth="1"/>
    <col min="2810" max="2810" width="14.5703125" style="30" customWidth="1"/>
    <col min="2811" max="2811" width="11" style="30" customWidth="1"/>
    <col min="2812" max="2813" width="10.42578125" style="30" customWidth="1"/>
    <col min="2814" max="2815" width="11" style="30" customWidth="1"/>
    <col min="2816" max="2816" width="14.7109375" style="30" customWidth="1"/>
    <col min="2817" max="2817" width="12.28515625" style="30" customWidth="1"/>
    <col min="2818" max="2818" width="10.42578125" style="30" customWidth="1"/>
    <col min="2819" max="2821" width="9.140625" style="30"/>
    <col min="2822" max="2822" width="12" style="30" customWidth="1"/>
    <col min="2823" max="2823" width="13.5703125" style="30" customWidth="1"/>
    <col min="2824" max="2824" width="16.85546875" style="30" bestFit="1" customWidth="1"/>
    <col min="2825" max="2827" width="7.42578125" style="30" customWidth="1"/>
    <col min="2828" max="2828" width="8.7109375" style="30" bestFit="1" customWidth="1"/>
    <col min="2829" max="2830" width="11.42578125" style="30" customWidth="1"/>
    <col min="2831" max="2831" width="14.140625" style="30" customWidth="1"/>
    <col min="2832" max="2832" width="13.42578125" style="30" customWidth="1"/>
    <col min="2833" max="2837" width="13" style="30" customWidth="1"/>
    <col min="2838" max="2838" width="11.42578125" style="30" customWidth="1"/>
    <col min="2839" max="2839" width="15.5703125" style="30" customWidth="1"/>
    <col min="2840" max="3062" width="9.140625" style="30"/>
    <col min="3063" max="3063" width="13.7109375" style="30" customWidth="1"/>
    <col min="3064" max="3064" width="14.5703125" style="30" customWidth="1"/>
    <col min="3065" max="3065" width="14.7109375" style="30" customWidth="1"/>
    <col min="3066" max="3066" width="14.5703125" style="30" customWidth="1"/>
    <col min="3067" max="3067" width="11" style="30" customWidth="1"/>
    <col min="3068" max="3069" width="10.42578125" style="30" customWidth="1"/>
    <col min="3070" max="3071" width="11" style="30" customWidth="1"/>
    <col min="3072" max="3072" width="14.7109375" style="30" customWidth="1"/>
    <col min="3073" max="3073" width="12.28515625" style="30" customWidth="1"/>
    <col min="3074" max="3074" width="10.42578125" style="30" customWidth="1"/>
    <col min="3075" max="3077" width="9.140625" style="30"/>
    <col min="3078" max="3078" width="12" style="30" customWidth="1"/>
    <col min="3079" max="3079" width="13.5703125" style="30" customWidth="1"/>
    <col min="3080" max="3080" width="16.85546875" style="30" bestFit="1" customWidth="1"/>
    <col min="3081" max="3083" width="7.42578125" style="30" customWidth="1"/>
    <col min="3084" max="3084" width="8.7109375" style="30" bestFit="1" customWidth="1"/>
    <col min="3085" max="3086" width="11.42578125" style="30" customWidth="1"/>
    <col min="3087" max="3087" width="14.140625" style="30" customWidth="1"/>
    <col min="3088" max="3088" width="13.42578125" style="30" customWidth="1"/>
    <col min="3089" max="3093" width="13" style="30" customWidth="1"/>
    <col min="3094" max="3094" width="11.42578125" style="30" customWidth="1"/>
    <col min="3095" max="3095" width="15.5703125" style="30" customWidth="1"/>
    <col min="3096" max="3318" width="9.140625" style="30"/>
    <col min="3319" max="3319" width="13.7109375" style="30" customWidth="1"/>
    <col min="3320" max="3320" width="14.5703125" style="30" customWidth="1"/>
    <col min="3321" max="3321" width="14.7109375" style="30" customWidth="1"/>
    <col min="3322" max="3322" width="14.5703125" style="30" customWidth="1"/>
    <col min="3323" max="3323" width="11" style="30" customWidth="1"/>
    <col min="3324" max="3325" width="10.42578125" style="30" customWidth="1"/>
    <col min="3326" max="3327" width="11" style="30" customWidth="1"/>
    <col min="3328" max="3328" width="14.7109375" style="30" customWidth="1"/>
    <col min="3329" max="3329" width="12.28515625" style="30" customWidth="1"/>
    <col min="3330" max="3330" width="10.42578125" style="30" customWidth="1"/>
    <col min="3331" max="3333" width="9.140625" style="30"/>
    <col min="3334" max="3334" width="12" style="30" customWidth="1"/>
    <col min="3335" max="3335" width="13.5703125" style="30" customWidth="1"/>
    <col min="3336" max="3336" width="16.85546875" style="30" bestFit="1" customWidth="1"/>
    <col min="3337" max="3339" width="7.42578125" style="30" customWidth="1"/>
    <col min="3340" max="3340" width="8.7109375" style="30" bestFit="1" customWidth="1"/>
    <col min="3341" max="3342" width="11.42578125" style="30" customWidth="1"/>
    <col min="3343" max="3343" width="14.140625" style="30" customWidth="1"/>
    <col min="3344" max="3344" width="13.42578125" style="30" customWidth="1"/>
    <col min="3345" max="3349" width="13" style="30" customWidth="1"/>
    <col min="3350" max="3350" width="11.42578125" style="30" customWidth="1"/>
    <col min="3351" max="3351" width="15.5703125" style="30" customWidth="1"/>
    <col min="3352" max="3574" width="9.140625" style="30"/>
    <col min="3575" max="3575" width="13.7109375" style="30" customWidth="1"/>
    <col min="3576" max="3576" width="14.5703125" style="30" customWidth="1"/>
    <col min="3577" max="3577" width="14.7109375" style="30" customWidth="1"/>
    <col min="3578" max="3578" width="14.5703125" style="30" customWidth="1"/>
    <col min="3579" max="3579" width="11" style="30" customWidth="1"/>
    <col min="3580" max="3581" width="10.42578125" style="30" customWidth="1"/>
    <col min="3582" max="3583" width="11" style="30" customWidth="1"/>
    <col min="3584" max="3584" width="14.7109375" style="30" customWidth="1"/>
    <col min="3585" max="3585" width="12.28515625" style="30" customWidth="1"/>
    <col min="3586" max="3586" width="10.42578125" style="30" customWidth="1"/>
    <col min="3587" max="3589" width="9.140625" style="30"/>
    <col min="3590" max="3590" width="12" style="30" customWidth="1"/>
    <col min="3591" max="3591" width="13.5703125" style="30" customWidth="1"/>
    <col min="3592" max="3592" width="16.85546875" style="30" bestFit="1" customWidth="1"/>
    <col min="3593" max="3595" width="7.42578125" style="30" customWidth="1"/>
    <col min="3596" max="3596" width="8.7109375" style="30" bestFit="1" customWidth="1"/>
    <col min="3597" max="3598" width="11.42578125" style="30" customWidth="1"/>
    <col min="3599" max="3599" width="14.140625" style="30" customWidth="1"/>
    <col min="3600" max="3600" width="13.42578125" style="30" customWidth="1"/>
    <col min="3601" max="3605" width="13" style="30" customWidth="1"/>
    <col min="3606" max="3606" width="11.42578125" style="30" customWidth="1"/>
    <col min="3607" max="3607" width="15.5703125" style="30" customWidth="1"/>
    <col min="3608" max="3830" width="9.140625" style="30"/>
    <col min="3831" max="3831" width="13.7109375" style="30" customWidth="1"/>
    <col min="3832" max="3832" width="14.5703125" style="30" customWidth="1"/>
    <col min="3833" max="3833" width="14.7109375" style="30" customWidth="1"/>
    <col min="3834" max="3834" width="14.5703125" style="30" customWidth="1"/>
    <col min="3835" max="3835" width="11" style="30" customWidth="1"/>
    <col min="3836" max="3837" width="10.42578125" style="30" customWidth="1"/>
    <col min="3838" max="3839" width="11" style="30" customWidth="1"/>
    <col min="3840" max="3840" width="14.7109375" style="30" customWidth="1"/>
    <col min="3841" max="3841" width="12.28515625" style="30" customWidth="1"/>
    <col min="3842" max="3842" width="10.42578125" style="30" customWidth="1"/>
    <col min="3843" max="3845" width="9.140625" style="30"/>
    <col min="3846" max="3846" width="12" style="30" customWidth="1"/>
    <col min="3847" max="3847" width="13.5703125" style="30" customWidth="1"/>
    <col min="3848" max="3848" width="16.85546875" style="30" bestFit="1" customWidth="1"/>
    <col min="3849" max="3851" width="7.42578125" style="30" customWidth="1"/>
    <col min="3852" max="3852" width="8.7109375" style="30" bestFit="1" customWidth="1"/>
    <col min="3853" max="3854" width="11.42578125" style="30" customWidth="1"/>
    <col min="3855" max="3855" width="14.140625" style="30" customWidth="1"/>
    <col min="3856" max="3856" width="13.42578125" style="30" customWidth="1"/>
    <col min="3857" max="3861" width="13" style="30" customWidth="1"/>
    <col min="3862" max="3862" width="11.42578125" style="30" customWidth="1"/>
    <col min="3863" max="3863" width="15.5703125" style="30" customWidth="1"/>
    <col min="3864" max="4086" width="9.140625" style="30"/>
    <col min="4087" max="4087" width="13.7109375" style="30" customWidth="1"/>
    <col min="4088" max="4088" width="14.5703125" style="30" customWidth="1"/>
    <col min="4089" max="4089" width="14.7109375" style="30" customWidth="1"/>
    <col min="4090" max="4090" width="14.5703125" style="30" customWidth="1"/>
    <col min="4091" max="4091" width="11" style="30" customWidth="1"/>
    <col min="4092" max="4093" width="10.42578125" style="30" customWidth="1"/>
    <col min="4094" max="4095" width="11" style="30" customWidth="1"/>
    <col min="4096" max="4096" width="14.7109375" style="30" customWidth="1"/>
    <col min="4097" max="4097" width="12.28515625" style="30" customWidth="1"/>
    <col min="4098" max="4098" width="10.42578125" style="30" customWidth="1"/>
    <col min="4099" max="4101" width="9.140625" style="30"/>
    <col min="4102" max="4102" width="12" style="30" customWidth="1"/>
    <col min="4103" max="4103" width="13.5703125" style="30" customWidth="1"/>
    <col min="4104" max="4104" width="16.85546875" style="30" bestFit="1" customWidth="1"/>
    <col min="4105" max="4107" width="7.42578125" style="30" customWidth="1"/>
    <col min="4108" max="4108" width="8.7109375" style="30" bestFit="1" customWidth="1"/>
    <col min="4109" max="4110" width="11.42578125" style="30" customWidth="1"/>
    <col min="4111" max="4111" width="14.140625" style="30" customWidth="1"/>
    <col min="4112" max="4112" width="13.42578125" style="30" customWidth="1"/>
    <col min="4113" max="4117" width="13" style="30" customWidth="1"/>
    <col min="4118" max="4118" width="11.42578125" style="30" customWidth="1"/>
    <col min="4119" max="4119" width="15.5703125" style="30" customWidth="1"/>
    <col min="4120" max="4342" width="9.140625" style="30"/>
    <col min="4343" max="4343" width="13.7109375" style="30" customWidth="1"/>
    <col min="4344" max="4344" width="14.5703125" style="30" customWidth="1"/>
    <col min="4345" max="4345" width="14.7109375" style="30" customWidth="1"/>
    <col min="4346" max="4346" width="14.5703125" style="30" customWidth="1"/>
    <col min="4347" max="4347" width="11" style="30" customWidth="1"/>
    <col min="4348" max="4349" width="10.42578125" style="30" customWidth="1"/>
    <col min="4350" max="4351" width="11" style="30" customWidth="1"/>
    <col min="4352" max="4352" width="14.7109375" style="30" customWidth="1"/>
    <col min="4353" max="4353" width="12.28515625" style="30" customWidth="1"/>
    <col min="4354" max="4354" width="10.42578125" style="30" customWidth="1"/>
    <col min="4355" max="4357" width="9.140625" style="30"/>
    <col min="4358" max="4358" width="12" style="30" customWidth="1"/>
    <col min="4359" max="4359" width="13.5703125" style="30" customWidth="1"/>
    <col min="4360" max="4360" width="16.85546875" style="30" bestFit="1" customWidth="1"/>
    <col min="4361" max="4363" width="7.42578125" style="30" customWidth="1"/>
    <col min="4364" max="4364" width="8.7109375" style="30" bestFit="1" customWidth="1"/>
    <col min="4365" max="4366" width="11.42578125" style="30" customWidth="1"/>
    <col min="4367" max="4367" width="14.140625" style="30" customWidth="1"/>
    <col min="4368" max="4368" width="13.42578125" style="30" customWidth="1"/>
    <col min="4369" max="4373" width="13" style="30" customWidth="1"/>
    <col min="4374" max="4374" width="11.42578125" style="30" customWidth="1"/>
    <col min="4375" max="4375" width="15.5703125" style="30" customWidth="1"/>
    <col min="4376" max="4598" width="9.140625" style="30"/>
    <col min="4599" max="4599" width="13.7109375" style="30" customWidth="1"/>
    <col min="4600" max="4600" width="14.5703125" style="30" customWidth="1"/>
    <col min="4601" max="4601" width="14.7109375" style="30" customWidth="1"/>
    <col min="4602" max="4602" width="14.5703125" style="30" customWidth="1"/>
    <col min="4603" max="4603" width="11" style="30" customWidth="1"/>
    <col min="4604" max="4605" width="10.42578125" style="30" customWidth="1"/>
    <col min="4606" max="4607" width="11" style="30" customWidth="1"/>
    <col min="4608" max="4608" width="14.7109375" style="30" customWidth="1"/>
    <col min="4609" max="4609" width="12.28515625" style="30" customWidth="1"/>
    <col min="4610" max="4610" width="10.42578125" style="30" customWidth="1"/>
    <col min="4611" max="4613" width="9.140625" style="30"/>
    <col min="4614" max="4614" width="12" style="30" customWidth="1"/>
    <col min="4615" max="4615" width="13.5703125" style="30" customWidth="1"/>
    <col min="4616" max="4616" width="16.85546875" style="30" bestFit="1" customWidth="1"/>
    <col min="4617" max="4619" width="7.42578125" style="30" customWidth="1"/>
    <col min="4620" max="4620" width="8.7109375" style="30" bestFit="1" customWidth="1"/>
    <col min="4621" max="4622" width="11.42578125" style="30" customWidth="1"/>
    <col min="4623" max="4623" width="14.140625" style="30" customWidth="1"/>
    <col min="4624" max="4624" width="13.42578125" style="30" customWidth="1"/>
    <col min="4625" max="4629" width="13" style="30" customWidth="1"/>
    <col min="4630" max="4630" width="11.42578125" style="30" customWidth="1"/>
    <col min="4631" max="4631" width="15.5703125" style="30" customWidth="1"/>
    <col min="4632" max="4854" width="9.140625" style="30"/>
    <col min="4855" max="4855" width="13.7109375" style="30" customWidth="1"/>
    <col min="4856" max="4856" width="14.5703125" style="30" customWidth="1"/>
    <col min="4857" max="4857" width="14.7109375" style="30" customWidth="1"/>
    <col min="4858" max="4858" width="14.5703125" style="30" customWidth="1"/>
    <col min="4859" max="4859" width="11" style="30" customWidth="1"/>
    <col min="4860" max="4861" width="10.42578125" style="30" customWidth="1"/>
    <col min="4862" max="4863" width="11" style="30" customWidth="1"/>
    <col min="4864" max="4864" width="14.7109375" style="30" customWidth="1"/>
    <col min="4865" max="4865" width="12.28515625" style="30" customWidth="1"/>
    <col min="4866" max="4866" width="10.42578125" style="30" customWidth="1"/>
    <col min="4867" max="4869" width="9.140625" style="30"/>
    <col min="4870" max="4870" width="12" style="30" customWidth="1"/>
    <col min="4871" max="4871" width="13.5703125" style="30" customWidth="1"/>
    <col min="4872" max="4872" width="16.85546875" style="30" bestFit="1" customWidth="1"/>
    <col min="4873" max="4875" width="7.42578125" style="30" customWidth="1"/>
    <col min="4876" max="4876" width="8.7109375" style="30" bestFit="1" customWidth="1"/>
    <col min="4877" max="4878" width="11.42578125" style="30" customWidth="1"/>
    <col min="4879" max="4879" width="14.140625" style="30" customWidth="1"/>
    <col min="4880" max="4880" width="13.42578125" style="30" customWidth="1"/>
    <col min="4881" max="4885" width="13" style="30" customWidth="1"/>
    <col min="4886" max="4886" width="11.42578125" style="30" customWidth="1"/>
    <col min="4887" max="4887" width="15.5703125" style="30" customWidth="1"/>
    <col min="4888" max="5110" width="9.140625" style="30"/>
    <col min="5111" max="5111" width="13.7109375" style="30" customWidth="1"/>
    <col min="5112" max="5112" width="14.5703125" style="30" customWidth="1"/>
    <col min="5113" max="5113" width="14.7109375" style="30" customWidth="1"/>
    <col min="5114" max="5114" width="14.5703125" style="30" customWidth="1"/>
    <col min="5115" max="5115" width="11" style="30" customWidth="1"/>
    <col min="5116" max="5117" width="10.42578125" style="30" customWidth="1"/>
    <col min="5118" max="5119" width="11" style="30" customWidth="1"/>
    <col min="5120" max="5120" width="14.7109375" style="30" customWidth="1"/>
    <col min="5121" max="5121" width="12.28515625" style="30" customWidth="1"/>
    <col min="5122" max="5122" width="10.42578125" style="30" customWidth="1"/>
    <col min="5123" max="5125" width="9.140625" style="30"/>
    <col min="5126" max="5126" width="12" style="30" customWidth="1"/>
    <col min="5127" max="5127" width="13.5703125" style="30" customWidth="1"/>
    <col min="5128" max="5128" width="16.85546875" style="30" bestFit="1" customWidth="1"/>
    <col min="5129" max="5131" width="7.42578125" style="30" customWidth="1"/>
    <col min="5132" max="5132" width="8.7109375" style="30" bestFit="1" customWidth="1"/>
    <col min="5133" max="5134" width="11.42578125" style="30" customWidth="1"/>
    <col min="5135" max="5135" width="14.140625" style="30" customWidth="1"/>
    <col min="5136" max="5136" width="13.42578125" style="30" customWidth="1"/>
    <col min="5137" max="5141" width="13" style="30" customWidth="1"/>
    <col min="5142" max="5142" width="11.42578125" style="30" customWidth="1"/>
    <col min="5143" max="5143" width="15.5703125" style="30" customWidth="1"/>
    <col min="5144" max="5366" width="9.140625" style="30"/>
    <col min="5367" max="5367" width="13.7109375" style="30" customWidth="1"/>
    <col min="5368" max="5368" width="14.5703125" style="30" customWidth="1"/>
    <col min="5369" max="5369" width="14.7109375" style="30" customWidth="1"/>
    <col min="5370" max="5370" width="14.5703125" style="30" customWidth="1"/>
    <col min="5371" max="5371" width="11" style="30" customWidth="1"/>
    <col min="5372" max="5373" width="10.42578125" style="30" customWidth="1"/>
    <col min="5374" max="5375" width="11" style="30" customWidth="1"/>
    <col min="5376" max="5376" width="14.7109375" style="30" customWidth="1"/>
    <col min="5377" max="5377" width="12.28515625" style="30" customWidth="1"/>
    <col min="5378" max="5378" width="10.42578125" style="30" customWidth="1"/>
    <col min="5379" max="5381" width="9.140625" style="30"/>
    <col min="5382" max="5382" width="12" style="30" customWidth="1"/>
    <col min="5383" max="5383" width="13.5703125" style="30" customWidth="1"/>
    <col min="5384" max="5384" width="16.85546875" style="30" bestFit="1" customWidth="1"/>
    <col min="5385" max="5387" width="7.42578125" style="30" customWidth="1"/>
    <col min="5388" max="5388" width="8.7109375" style="30" bestFit="1" customWidth="1"/>
    <col min="5389" max="5390" width="11.42578125" style="30" customWidth="1"/>
    <col min="5391" max="5391" width="14.140625" style="30" customWidth="1"/>
    <col min="5392" max="5392" width="13.42578125" style="30" customWidth="1"/>
    <col min="5393" max="5397" width="13" style="30" customWidth="1"/>
    <col min="5398" max="5398" width="11.42578125" style="30" customWidth="1"/>
    <col min="5399" max="5399" width="15.5703125" style="30" customWidth="1"/>
    <col min="5400" max="5622" width="9.140625" style="30"/>
    <col min="5623" max="5623" width="13.7109375" style="30" customWidth="1"/>
    <col min="5624" max="5624" width="14.5703125" style="30" customWidth="1"/>
    <col min="5625" max="5625" width="14.7109375" style="30" customWidth="1"/>
    <col min="5626" max="5626" width="14.5703125" style="30" customWidth="1"/>
    <col min="5627" max="5627" width="11" style="30" customWidth="1"/>
    <col min="5628" max="5629" width="10.42578125" style="30" customWidth="1"/>
    <col min="5630" max="5631" width="11" style="30" customWidth="1"/>
    <col min="5632" max="5632" width="14.7109375" style="30" customWidth="1"/>
    <col min="5633" max="5633" width="12.28515625" style="30" customWidth="1"/>
    <col min="5634" max="5634" width="10.42578125" style="30" customWidth="1"/>
    <col min="5635" max="5637" width="9.140625" style="30"/>
    <col min="5638" max="5638" width="12" style="30" customWidth="1"/>
    <col min="5639" max="5639" width="13.5703125" style="30" customWidth="1"/>
    <col min="5640" max="5640" width="16.85546875" style="30" bestFit="1" customWidth="1"/>
    <col min="5641" max="5643" width="7.42578125" style="30" customWidth="1"/>
    <col min="5644" max="5644" width="8.7109375" style="30" bestFit="1" customWidth="1"/>
    <col min="5645" max="5646" width="11.42578125" style="30" customWidth="1"/>
    <col min="5647" max="5647" width="14.140625" style="30" customWidth="1"/>
    <col min="5648" max="5648" width="13.42578125" style="30" customWidth="1"/>
    <col min="5649" max="5653" width="13" style="30" customWidth="1"/>
    <col min="5654" max="5654" width="11.42578125" style="30" customWidth="1"/>
    <col min="5655" max="5655" width="15.5703125" style="30" customWidth="1"/>
    <col min="5656" max="5878" width="9.140625" style="30"/>
    <col min="5879" max="5879" width="13.7109375" style="30" customWidth="1"/>
    <col min="5880" max="5880" width="14.5703125" style="30" customWidth="1"/>
    <col min="5881" max="5881" width="14.7109375" style="30" customWidth="1"/>
    <col min="5882" max="5882" width="14.5703125" style="30" customWidth="1"/>
    <col min="5883" max="5883" width="11" style="30" customWidth="1"/>
    <col min="5884" max="5885" width="10.42578125" style="30" customWidth="1"/>
    <col min="5886" max="5887" width="11" style="30" customWidth="1"/>
    <col min="5888" max="5888" width="14.7109375" style="30" customWidth="1"/>
    <col min="5889" max="5889" width="12.28515625" style="30" customWidth="1"/>
    <col min="5890" max="5890" width="10.42578125" style="30" customWidth="1"/>
    <col min="5891" max="5893" width="9.140625" style="30"/>
    <col min="5894" max="5894" width="12" style="30" customWidth="1"/>
    <col min="5895" max="5895" width="13.5703125" style="30" customWidth="1"/>
    <col min="5896" max="5896" width="16.85546875" style="30" bestFit="1" customWidth="1"/>
    <col min="5897" max="5899" width="7.42578125" style="30" customWidth="1"/>
    <col min="5900" max="5900" width="8.7109375" style="30" bestFit="1" customWidth="1"/>
    <col min="5901" max="5902" width="11.42578125" style="30" customWidth="1"/>
    <col min="5903" max="5903" width="14.140625" style="30" customWidth="1"/>
    <col min="5904" max="5904" width="13.42578125" style="30" customWidth="1"/>
    <col min="5905" max="5909" width="13" style="30" customWidth="1"/>
    <col min="5910" max="5910" width="11.42578125" style="30" customWidth="1"/>
    <col min="5911" max="5911" width="15.5703125" style="30" customWidth="1"/>
    <col min="5912" max="6134" width="9.140625" style="30"/>
    <col min="6135" max="6135" width="13.7109375" style="30" customWidth="1"/>
    <col min="6136" max="6136" width="14.5703125" style="30" customWidth="1"/>
    <col min="6137" max="6137" width="14.7109375" style="30" customWidth="1"/>
    <col min="6138" max="6138" width="14.5703125" style="30" customWidth="1"/>
    <col min="6139" max="6139" width="11" style="30" customWidth="1"/>
    <col min="6140" max="6141" width="10.42578125" style="30" customWidth="1"/>
    <col min="6142" max="6143" width="11" style="30" customWidth="1"/>
    <col min="6144" max="6144" width="14.7109375" style="30" customWidth="1"/>
    <col min="6145" max="6145" width="12.28515625" style="30" customWidth="1"/>
    <col min="6146" max="6146" width="10.42578125" style="30" customWidth="1"/>
    <col min="6147" max="6149" width="9.140625" style="30"/>
    <col min="6150" max="6150" width="12" style="30" customWidth="1"/>
    <col min="6151" max="6151" width="13.5703125" style="30" customWidth="1"/>
    <col min="6152" max="6152" width="16.85546875" style="30" bestFit="1" customWidth="1"/>
    <col min="6153" max="6155" width="7.42578125" style="30" customWidth="1"/>
    <col min="6156" max="6156" width="8.7109375" style="30" bestFit="1" customWidth="1"/>
    <col min="6157" max="6158" width="11.42578125" style="30" customWidth="1"/>
    <col min="6159" max="6159" width="14.140625" style="30" customWidth="1"/>
    <col min="6160" max="6160" width="13.42578125" style="30" customWidth="1"/>
    <col min="6161" max="6165" width="13" style="30" customWidth="1"/>
    <col min="6166" max="6166" width="11.42578125" style="30" customWidth="1"/>
    <col min="6167" max="6167" width="15.5703125" style="30" customWidth="1"/>
    <col min="6168" max="6390" width="9.140625" style="30"/>
    <col min="6391" max="6391" width="13.7109375" style="30" customWidth="1"/>
    <col min="6392" max="6392" width="14.5703125" style="30" customWidth="1"/>
    <col min="6393" max="6393" width="14.7109375" style="30" customWidth="1"/>
    <col min="6394" max="6394" width="14.5703125" style="30" customWidth="1"/>
    <col min="6395" max="6395" width="11" style="30" customWidth="1"/>
    <col min="6396" max="6397" width="10.42578125" style="30" customWidth="1"/>
    <col min="6398" max="6399" width="11" style="30" customWidth="1"/>
    <col min="6400" max="6400" width="14.7109375" style="30" customWidth="1"/>
    <col min="6401" max="6401" width="12.28515625" style="30" customWidth="1"/>
    <col min="6402" max="6402" width="10.42578125" style="30" customWidth="1"/>
    <col min="6403" max="6405" width="9.140625" style="30"/>
    <col min="6406" max="6406" width="12" style="30" customWidth="1"/>
    <col min="6407" max="6407" width="13.5703125" style="30" customWidth="1"/>
    <col min="6408" max="6408" width="16.85546875" style="30" bestFit="1" customWidth="1"/>
    <col min="6409" max="6411" width="7.42578125" style="30" customWidth="1"/>
    <col min="6412" max="6412" width="8.7109375" style="30" bestFit="1" customWidth="1"/>
    <col min="6413" max="6414" width="11.42578125" style="30" customWidth="1"/>
    <col min="6415" max="6415" width="14.140625" style="30" customWidth="1"/>
    <col min="6416" max="6416" width="13.42578125" style="30" customWidth="1"/>
    <col min="6417" max="6421" width="13" style="30" customWidth="1"/>
    <col min="6422" max="6422" width="11.42578125" style="30" customWidth="1"/>
    <col min="6423" max="6423" width="15.5703125" style="30" customWidth="1"/>
    <col min="6424" max="6646" width="9.140625" style="30"/>
    <col min="6647" max="6647" width="13.7109375" style="30" customWidth="1"/>
    <col min="6648" max="6648" width="14.5703125" style="30" customWidth="1"/>
    <col min="6649" max="6649" width="14.7109375" style="30" customWidth="1"/>
    <col min="6650" max="6650" width="14.5703125" style="30" customWidth="1"/>
    <col min="6651" max="6651" width="11" style="30" customWidth="1"/>
    <col min="6652" max="6653" width="10.42578125" style="30" customWidth="1"/>
    <col min="6654" max="6655" width="11" style="30" customWidth="1"/>
    <col min="6656" max="6656" width="14.7109375" style="30" customWidth="1"/>
    <col min="6657" max="6657" width="12.28515625" style="30" customWidth="1"/>
    <col min="6658" max="6658" width="10.42578125" style="30" customWidth="1"/>
    <col min="6659" max="6661" width="9.140625" style="30"/>
    <col min="6662" max="6662" width="12" style="30" customWidth="1"/>
    <col min="6663" max="6663" width="13.5703125" style="30" customWidth="1"/>
    <col min="6664" max="6664" width="16.85546875" style="30" bestFit="1" customWidth="1"/>
    <col min="6665" max="6667" width="7.42578125" style="30" customWidth="1"/>
    <col min="6668" max="6668" width="8.7109375" style="30" bestFit="1" customWidth="1"/>
    <col min="6669" max="6670" width="11.42578125" style="30" customWidth="1"/>
    <col min="6671" max="6671" width="14.140625" style="30" customWidth="1"/>
    <col min="6672" max="6672" width="13.42578125" style="30" customWidth="1"/>
    <col min="6673" max="6677" width="13" style="30" customWidth="1"/>
    <col min="6678" max="6678" width="11.42578125" style="30" customWidth="1"/>
    <col min="6679" max="6679" width="15.5703125" style="30" customWidth="1"/>
    <col min="6680" max="6902" width="9.140625" style="30"/>
    <col min="6903" max="6903" width="13.7109375" style="30" customWidth="1"/>
    <col min="6904" max="6904" width="14.5703125" style="30" customWidth="1"/>
    <col min="6905" max="6905" width="14.7109375" style="30" customWidth="1"/>
    <col min="6906" max="6906" width="14.5703125" style="30" customWidth="1"/>
    <col min="6907" max="6907" width="11" style="30" customWidth="1"/>
    <col min="6908" max="6909" width="10.42578125" style="30" customWidth="1"/>
    <col min="6910" max="6911" width="11" style="30" customWidth="1"/>
    <col min="6912" max="6912" width="14.7109375" style="30" customWidth="1"/>
    <col min="6913" max="6913" width="12.28515625" style="30" customWidth="1"/>
    <col min="6914" max="6914" width="10.42578125" style="30" customWidth="1"/>
    <col min="6915" max="6917" width="9.140625" style="30"/>
    <col min="6918" max="6918" width="12" style="30" customWidth="1"/>
    <col min="6919" max="6919" width="13.5703125" style="30" customWidth="1"/>
    <col min="6920" max="6920" width="16.85546875" style="30" bestFit="1" customWidth="1"/>
    <col min="6921" max="6923" width="7.42578125" style="30" customWidth="1"/>
    <col min="6924" max="6924" width="8.7109375" style="30" bestFit="1" customWidth="1"/>
    <col min="6925" max="6926" width="11.42578125" style="30" customWidth="1"/>
    <col min="6927" max="6927" width="14.140625" style="30" customWidth="1"/>
    <col min="6928" max="6928" width="13.42578125" style="30" customWidth="1"/>
    <col min="6929" max="6933" width="13" style="30" customWidth="1"/>
    <col min="6934" max="6934" width="11.42578125" style="30" customWidth="1"/>
    <col min="6935" max="6935" width="15.5703125" style="30" customWidth="1"/>
    <col min="6936" max="7158" width="9.140625" style="30"/>
    <col min="7159" max="7159" width="13.7109375" style="30" customWidth="1"/>
    <col min="7160" max="7160" width="14.5703125" style="30" customWidth="1"/>
    <col min="7161" max="7161" width="14.7109375" style="30" customWidth="1"/>
    <col min="7162" max="7162" width="14.5703125" style="30" customWidth="1"/>
    <col min="7163" max="7163" width="11" style="30" customWidth="1"/>
    <col min="7164" max="7165" width="10.42578125" style="30" customWidth="1"/>
    <col min="7166" max="7167" width="11" style="30" customWidth="1"/>
    <col min="7168" max="7168" width="14.7109375" style="30" customWidth="1"/>
    <col min="7169" max="7169" width="12.28515625" style="30" customWidth="1"/>
    <col min="7170" max="7170" width="10.42578125" style="30" customWidth="1"/>
    <col min="7171" max="7173" width="9.140625" style="30"/>
    <col min="7174" max="7174" width="12" style="30" customWidth="1"/>
    <col min="7175" max="7175" width="13.5703125" style="30" customWidth="1"/>
    <col min="7176" max="7176" width="16.85546875" style="30" bestFit="1" customWidth="1"/>
    <col min="7177" max="7179" width="7.42578125" style="30" customWidth="1"/>
    <col min="7180" max="7180" width="8.7109375" style="30" bestFit="1" customWidth="1"/>
    <col min="7181" max="7182" width="11.42578125" style="30" customWidth="1"/>
    <col min="7183" max="7183" width="14.140625" style="30" customWidth="1"/>
    <col min="7184" max="7184" width="13.42578125" style="30" customWidth="1"/>
    <col min="7185" max="7189" width="13" style="30" customWidth="1"/>
    <col min="7190" max="7190" width="11.42578125" style="30" customWidth="1"/>
    <col min="7191" max="7191" width="15.5703125" style="30" customWidth="1"/>
    <col min="7192" max="7414" width="9.140625" style="30"/>
    <col min="7415" max="7415" width="13.7109375" style="30" customWidth="1"/>
    <col min="7416" max="7416" width="14.5703125" style="30" customWidth="1"/>
    <col min="7417" max="7417" width="14.7109375" style="30" customWidth="1"/>
    <col min="7418" max="7418" width="14.5703125" style="30" customWidth="1"/>
    <col min="7419" max="7419" width="11" style="30" customWidth="1"/>
    <col min="7420" max="7421" width="10.42578125" style="30" customWidth="1"/>
    <col min="7422" max="7423" width="11" style="30" customWidth="1"/>
    <col min="7424" max="7424" width="14.7109375" style="30" customWidth="1"/>
    <col min="7425" max="7425" width="12.28515625" style="30" customWidth="1"/>
    <col min="7426" max="7426" width="10.42578125" style="30" customWidth="1"/>
    <col min="7427" max="7429" width="9.140625" style="30"/>
    <col min="7430" max="7430" width="12" style="30" customWidth="1"/>
    <col min="7431" max="7431" width="13.5703125" style="30" customWidth="1"/>
    <col min="7432" max="7432" width="16.85546875" style="30" bestFit="1" customWidth="1"/>
    <col min="7433" max="7435" width="7.42578125" style="30" customWidth="1"/>
    <col min="7436" max="7436" width="8.7109375" style="30" bestFit="1" customWidth="1"/>
    <col min="7437" max="7438" width="11.42578125" style="30" customWidth="1"/>
    <col min="7439" max="7439" width="14.140625" style="30" customWidth="1"/>
    <col min="7440" max="7440" width="13.42578125" style="30" customWidth="1"/>
    <col min="7441" max="7445" width="13" style="30" customWidth="1"/>
    <col min="7446" max="7446" width="11.42578125" style="30" customWidth="1"/>
    <col min="7447" max="7447" width="15.5703125" style="30" customWidth="1"/>
    <col min="7448" max="7670" width="9.140625" style="30"/>
    <col min="7671" max="7671" width="13.7109375" style="30" customWidth="1"/>
    <col min="7672" max="7672" width="14.5703125" style="30" customWidth="1"/>
    <col min="7673" max="7673" width="14.7109375" style="30" customWidth="1"/>
    <col min="7674" max="7674" width="14.5703125" style="30" customWidth="1"/>
    <col min="7675" max="7675" width="11" style="30" customWidth="1"/>
    <col min="7676" max="7677" width="10.42578125" style="30" customWidth="1"/>
    <col min="7678" max="7679" width="11" style="30" customWidth="1"/>
    <col min="7680" max="7680" width="14.7109375" style="30" customWidth="1"/>
    <col min="7681" max="7681" width="12.28515625" style="30" customWidth="1"/>
    <col min="7682" max="7682" width="10.42578125" style="30" customWidth="1"/>
    <col min="7683" max="7685" width="9.140625" style="30"/>
    <col min="7686" max="7686" width="12" style="30" customWidth="1"/>
    <col min="7687" max="7687" width="13.5703125" style="30" customWidth="1"/>
    <col min="7688" max="7688" width="16.85546875" style="30" bestFit="1" customWidth="1"/>
    <col min="7689" max="7691" width="7.42578125" style="30" customWidth="1"/>
    <col min="7692" max="7692" width="8.7109375" style="30" bestFit="1" customWidth="1"/>
    <col min="7693" max="7694" width="11.42578125" style="30" customWidth="1"/>
    <col min="7695" max="7695" width="14.140625" style="30" customWidth="1"/>
    <col min="7696" max="7696" width="13.42578125" style="30" customWidth="1"/>
    <col min="7697" max="7701" width="13" style="30" customWidth="1"/>
    <col min="7702" max="7702" width="11.42578125" style="30" customWidth="1"/>
    <col min="7703" max="7703" width="15.5703125" style="30" customWidth="1"/>
    <col min="7704" max="7926" width="9.140625" style="30"/>
    <col min="7927" max="7927" width="13.7109375" style="30" customWidth="1"/>
    <col min="7928" max="7928" width="14.5703125" style="30" customWidth="1"/>
    <col min="7929" max="7929" width="14.7109375" style="30" customWidth="1"/>
    <col min="7930" max="7930" width="14.5703125" style="30" customWidth="1"/>
    <col min="7931" max="7931" width="11" style="30" customWidth="1"/>
    <col min="7932" max="7933" width="10.42578125" style="30" customWidth="1"/>
    <col min="7934" max="7935" width="11" style="30" customWidth="1"/>
    <col min="7936" max="7936" width="14.7109375" style="30" customWidth="1"/>
    <col min="7937" max="7937" width="12.28515625" style="30" customWidth="1"/>
    <col min="7938" max="7938" width="10.42578125" style="30" customWidth="1"/>
    <col min="7939" max="7941" width="9.140625" style="30"/>
    <col min="7942" max="7942" width="12" style="30" customWidth="1"/>
    <col min="7943" max="7943" width="13.5703125" style="30" customWidth="1"/>
    <col min="7944" max="7944" width="16.85546875" style="30" bestFit="1" customWidth="1"/>
    <col min="7945" max="7947" width="7.42578125" style="30" customWidth="1"/>
    <col min="7948" max="7948" width="8.7109375" style="30" bestFit="1" customWidth="1"/>
    <col min="7949" max="7950" width="11.42578125" style="30" customWidth="1"/>
    <col min="7951" max="7951" width="14.140625" style="30" customWidth="1"/>
    <col min="7952" max="7952" width="13.42578125" style="30" customWidth="1"/>
    <col min="7953" max="7957" width="13" style="30" customWidth="1"/>
    <col min="7958" max="7958" width="11.42578125" style="30" customWidth="1"/>
    <col min="7959" max="7959" width="15.5703125" style="30" customWidth="1"/>
    <col min="7960" max="8182" width="9.140625" style="30"/>
    <col min="8183" max="8183" width="13.7109375" style="30" customWidth="1"/>
    <col min="8184" max="8184" width="14.5703125" style="30" customWidth="1"/>
    <col min="8185" max="8185" width="14.7109375" style="30" customWidth="1"/>
    <col min="8186" max="8186" width="14.5703125" style="30" customWidth="1"/>
    <col min="8187" max="8187" width="11" style="30" customWidth="1"/>
    <col min="8188" max="8189" width="10.42578125" style="30" customWidth="1"/>
    <col min="8190" max="8191" width="11" style="30" customWidth="1"/>
    <col min="8192" max="8192" width="14.7109375" style="30" customWidth="1"/>
    <col min="8193" max="8193" width="12.28515625" style="30" customWidth="1"/>
    <col min="8194" max="8194" width="10.42578125" style="30" customWidth="1"/>
    <col min="8195" max="8197" width="9.140625" style="30"/>
    <col min="8198" max="8198" width="12" style="30" customWidth="1"/>
    <col min="8199" max="8199" width="13.5703125" style="30" customWidth="1"/>
    <col min="8200" max="8200" width="16.85546875" style="30" bestFit="1" customWidth="1"/>
    <col min="8201" max="8203" width="7.42578125" style="30" customWidth="1"/>
    <col min="8204" max="8204" width="8.7109375" style="30" bestFit="1" customWidth="1"/>
    <col min="8205" max="8206" width="11.42578125" style="30" customWidth="1"/>
    <col min="8207" max="8207" width="14.140625" style="30" customWidth="1"/>
    <col min="8208" max="8208" width="13.42578125" style="30" customWidth="1"/>
    <col min="8209" max="8213" width="13" style="30" customWidth="1"/>
    <col min="8214" max="8214" width="11.42578125" style="30" customWidth="1"/>
    <col min="8215" max="8215" width="15.5703125" style="30" customWidth="1"/>
    <col min="8216" max="8438" width="9.140625" style="30"/>
    <col min="8439" max="8439" width="13.7109375" style="30" customWidth="1"/>
    <col min="8440" max="8440" width="14.5703125" style="30" customWidth="1"/>
    <col min="8441" max="8441" width="14.7109375" style="30" customWidth="1"/>
    <col min="8442" max="8442" width="14.5703125" style="30" customWidth="1"/>
    <col min="8443" max="8443" width="11" style="30" customWidth="1"/>
    <col min="8444" max="8445" width="10.42578125" style="30" customWidth="1"/>
    <col min="8446" max="8447" width="11" style="30" customWidth="1"/>
    <col min="8448" max="8448" width="14.7109375" style="30" customWidth="1"/>
    <col min="8449" max="8449" width="12.28515625" style="30" customWidth="1"/>
    <col min="8450" max="8450" width="10.42578125" style="30" customWidth="1"/>
    <col min="8451" max="8453" width="9.140625" style="30"/>
    <col min="8454" max="8454" width="12" style="30" customWidth="1"/>
    <col min="8455" max="8455" width="13.5703125" style="30" customWidth="1"/>
    <col min="8456" max="8456" width="16.85546875" style="30" bestFit="1" customWidth="1"/>
    <col min="8457" max="8459" width="7.42578125" style="30" customWidth="1"/>
    <col min="8460" max="8460" width="8.7109375" style="30" bestFit="1" customWidth="1"/>
    <col min="8461" max="8462" width="11.42578125" style="30" customWidth="1"/>
    <col min="8463" max="8463" width="14.140625" style="30" customWidth="1"/>
    <col min="8464" max="8464" width="13.42578125" style="30" customWidth="1"/>
    <col min="8465" max="8469" width="13" style="30" customWidth="1"/>
    <col min="8470" max="8470" width="11.42578125" style="30" customWidth="1"/>
    <col min="8471" max="8471" width="15.5703125" style="30" customWidth="1"/>
    <col min="8472" max="8694" width="9.140625" style="30"/>
    <col min="8695" max="8695" width="13.7109375" style="30" customWidth="1"/>
    <col min="8696" max="8696" width="14.5703125" style="30" customWidth="1"/>
    <col min="8697" max="8697" width="14.7109375" style="30" customWidth="1"/>
    <col min="8698" max="8698" width="14.5703125" style="30" customWidth="1"/>
    <col min="8699" max="8699" width="11" style="30" customWidth="1"/>
    <col min="8700" max="8701" width="10.42578125" style="30" customWidth="1"/>
    <col min="8702" max="8703" width="11" style="30" customWidth="1"/>
    <col min="8704" max="8704" width="14.7109375" style="30" customWidth="1"/>
    <col min="8705" max="8705" width="12.28515625" style="30" customWidth="1"/>
    <col min="8706" max="8706" width="10.42578125" style="30" customWidth="1"/>
    <col min="8707" max="8709" width="9.140625" style="30"/>
    <col min="8710" max="8710" width="12" style="30" customWidth="1"/>
    <col min="8711" max="8711" width="13.5703125" style="30" customWidth="1"/>
    <col min="8712" max="8712" width="16.85546875" style="30" bestFit="1" customWidth="1"/>
    <col min="8713" max="8715" width="7.42578125" style="30" customWidth="1"/>
    <col min="8716" max="8716" width="8.7109375" style="30" bestFit="1" customWidth="1"/>
    <col min="8717" max="8718" width="11.42578125" style="30" customWidth="1"/>
    <col min="8719" max="8719" width="14.140625" style="30" customWidth="1"/>
    <col min="8720" max="8720" width="13.42578125" style="30" customWidth="1"/>
    <col min="8721" max="8725" width="13" style="30" customWidth="1"/>
    <col min="8726" max="8726" width="11.42578125" style="30" customWidth="1"/>
    <col min="8727" max="8727" width="15.5703125" style="30" customWidth="1"/>
    <col min="8728" max="8950" width="9.140625" style="30"/>
    <col min="8951" max="8951" width="13.7109375" style="30" customWidth="1"/>
    <col min="8952" max="8952" width="14.5703125" style="30" customWidth="1"/>
    <col min="8953" max="8953" width="14.7109375" style="30" customWidth="1"/>
    <col min="8954" max="8954" width="14.5703125" style="30" customWidth="1"/>
    <col min="8955" max="8955" width="11" style="30" customWidth="1"/>
    <col min="8956" max="8957" width="10.42578125" style="30" customWidth="1"/>
    <col min="8958" max="8959" width="11" style="30" customWidth="1"/>
    <col min="8960" max="8960" width="14.7109375" style="30" customWidth="1"/>
    <col min="8961" max="8961" width="12.28515625" style="30" customWidth="1"/>
    <col min="8962" max="8962" width="10.42578125" style="30" customWidth="1"/>
    <col min="8963" max="8965" width="9.140625" style="30"/>
    <col min="8966" max="8966" width="12" style="30" customWidth="1"/>
    <col min="8967" max="8967" width="13.5703125" style="30" customWidth="1"/>
    <col min="8968" max="8968" width="16.85546875" style="30" bestFit="1" customWidth="1"/>
    <col min="8969" max="8971" width="7.42578125" style="30" customWidth="1"/>
    <col min="8972" max="8972" width="8.7109375" style="30" bestFit="1" customWidth="1"/>
    <col min="8973" max="8974" width="11.42578125" style="30" customWidth="1"/>
    <col min="8975" max="8975" width="14.140625" style="30" customWidth="1"/>
    <col min="8976" max="8976" width="13.42578125" style="30" customWidth="1"/>
    <col min="8977" max="8981" width="13" style="30" customWidth="1"/>
    <col min="8982" max="8982" width="11.42578125" style="30" customWidth="1"/>
    <col min="8983" max="8983" width="15.5703125" style="30" customWidth="1"/>
    <col min="8984" max="9206" width="9.140625" style="30"/>
    <col min="9207" max="9207" width="13.7109375" style="30" customWidth="1"/>
    <col min="9208" max="9208" width="14.5703125" style="30" customWidth="1"/>
    <col min="9209" max="9209" width="14.7109375" style="30" customWidth="1"/>
    <col min="9210" max="9210" width="14.5703125" style="30" customWidth="1"/>
    <col min="9211" max="9211" width="11" style="30" customWidth="1"/>
    <col min="9212" max="9213" width="10.42578125" style="30" customWidth="1"/>
    <col min="9214" max="9215" width="11" style="30" customWidth="1"/>
    <col min="9216" max="9216" width="14.7109375" style="30" customWidth="1"/>
    <col min="9217" max="9217" width="12.28515625" style="30" customWidth="1"/>
    <col min="9218" max="9218" width="10.42578125" style="30" customWidth="1"/>
    <col min="9219" max="9221" width="9.140625" style="30"/>
    <col min="9222" max="9222" width="12" style="30" customWidth="1"/>
    <col min="9223" max="9223" width="13.5703125" style="30" customWidth="1"/>
    <col min="9224" max="9224" width="16.85546875" style="30" bestFit="1" customWidth="1"/>
    <col min="9225" max="9227" width="7.42578125" style="30" customWidth="1"/>
    <col min="9228" max="9228" width="8.7109375" style="30" bestFit="1" customWidth="1"/>
    <col min="9229" max="9230" width="11.42578125" style="30" customWidth="1"/>
    <col min="9231" max="9231" width="14.140625" style="30" customWidth="1"/>
    <col min="9232" max="9232" width="13.42578125" style="30" customWidth="1"/>
    <col min="9233" max="9237" width="13" style="30" customWidth="1"/>
    <col min="9238" max="9238" width="11.42578125" style="30" customWidth="1"/>
    <col min="9239" max="9239" width="15.5703125" style="30" customWidth="1"/>
    <col min="9240" max="9462" width="9.140625" style="30"/>
    <col min="9463" max="9463" width="13.7109375" style="30" customWidth="1"/>
    <col min="9464" max="9464" width="14.5703125" style="30" customWidth="1"/>
    <col min="9465" max="9465" width="14.7109375" style="30" customWidth="1"/>
    <col min="9466" max="9466" width="14.5703125" style="30" customWidth="1"/>
    <col min="9467" max="9467" width="11" style="30" customWidth="1"/>
    <col min="9468" max="9469" width="10.42578125" style="30" customWidth="1"/>
    <col min="9470" max="9471" width="11" style="30" customWidth="1"/>
    <col min="9472" max="9472" width="14.7109375" style="30" customWidth="1"/>
    <col min="9473" max="9473" width="12.28515625" style="30" customWidth="1"/>
    <col min="9474" max="9474" width="10.42578125" style="30" customWidth="1"/>
    <col min="9475" max="9477" width="9.140625" style="30"/>
    <col min="9478" max="9478" width="12" style="30" customWidth="1"/>
    <col min="9479" max="9479" width="13.5703125" style="30" customWidth="1"/>
    <col min="9480" max="9480" width="16.85546875" style="30" bestFit="1" customWidth="1"/>
    <col min="9481" max="9483" width="7.42578125" style="30" customWidth="1"/>
    <col min="9484" max="9484" width="8.7109375" style="30" bestFit="1" customWidth="1"/>
    <col min="9485" max="9486" width="11.42578125" style="30" customWidth="1"/>
    <col min="9487" max="9487" width="14.140625" style="30" customWidth="1"/>
    <col min="9488" max="9488" width="13.42578125" style="30" customWidth="1"/>
    <col min="9489" max="9493" width="13" style="30" customWidth="1"/>
    <col min="9494" max="9494" width="11.42578125" style="30" customWidth="1"/>
    <col min="9495" max="9495" width="15.5703125" style="30" customWidth="1"/>
    <col min="9496" max="9718" width="9.140625" style="30"/>
    <col min="9719" max="9719" width="13.7109375" style="30" customWidth="1"/>
    <col min="9720" max="9720" width="14.5703125" style="30" customWidth="1"/>
    <col min="9721" max="9721" width="14.7109375" style="30" customWidth="1"/>
    <col min="9722" max="9722" width="14.5703125" style="30" customWidth="1"/>
    <col min="9723" max="9723" width="11" style="30" customWidth="1"/>
    <col min="9724" max="9725" width="10.42578125" style="30" customWidth="1"/>
    <col min="9726" max="9727" width="11" style="30" customWidth="1"/>
    <col min="9728" max="9728" width="14.7109375" style="30" customWidth="1"/>
    <col min="9729" max="9729" width="12.28515625" style="30" customWidth="1"/>
    <col min="9730" max="9730" width="10.42578125" style="30" customWidth="1"/>
    <col min="9731" max="9733" width="9.140625" style="30"/>
    <col min="9734" max="9734" width="12" style="30" customWidth="1"/>
    <col min="9735" max="9735" width="13.5703125" style="30" customWidth="1"/>
    <col min="9736" max="9736" width="16.85546875" style="30" bestFit="1" customWidth="1"/>
    <col min="9737" max="9739" width="7.42578125" style="30" customWidth="1"/>
    <col min="9740" max="9740" width="8.7109375" style="30" bestFit="1" customWidth="1"/>
    <col min="9741" max="9742" width="11.42578125" style="30" customWidth="1"/>
    <col min="9743" max="9743" width="14.140625" style="30" customWidth="1"/>
    <col min="9744" max="9744" width="13.42578125" style="30" customWidth="1"/>
    <col min="9745" max="9749" width="13" style="30" customWidth="1"/>
    <col min="9750" max="9750" width="11.42578125" style="30" customWidth="1"/>
    <col min="9751" max="9751" width="15.5703125" style="30" customWidth="1"/>
    <col min="9752" max="9974" width="9.140625" style="30"/>
    <col min="9975" max="9975" width="13.7109375" style="30" customWidth="1"/>
    <col min="9976" max="9976" width="14.5703125" style="30" customWidth="1"/>
    <col min="9977" max="9977" width="14.7109375" style="30" customWidth="1"/>
    <col min="9978" max="9978" width="14.5703125" style="30" customWidth="1"/>
    <col min="9979" max="9979" width="11" style="30" customWidth="1"/>
    <col min="9980" max="9981" width="10.42578125" style="30" customWidth="1"/>
    <col min="9982" max="9983" width="11" style="30" customWidth="1"/>
    <col min="9984" max="9984" width="14.7109375" style="30" customWidth="1"/>
    <col min="9985" max="9985" width="12.28515625" style="30" customWidth="1"/>
    <col min="9986" max="9986" width="10.42578125" style="30" customWidth="1"/>
    <col min="9987" max="9989" width="9.140625" style="30"/>
    <col min="9990" max="9990" width="12" style="30" customWidth="1"/>
    <col min="9991" max="9991" width="13.5703125" style="30" customWidth="1"/>
    <col min="9992" max="9992" width="16.85546875" style="30" bestFit="1" customWidth="1"/>
    <col min="9993" max="9995" width="7.42578125" style="30" customWidth="1"/>
    <col min="9996" max="9996" width="8.7109375" style="30" bestFit="1" customWidth="1"/>
    <col min="9997" max="9998" width="11.42578125" style="30" customWidth="1"/>
    <col min="9999" max="9999" width="14.140625" style="30" customWidth="1"/>
    <col min="10000" max="10000" width="13.42578125" style="30" customWidth="1"/>
    <col min="10001" max="10005" width="13" style="30" customWidth="1"/>
    <col min="10006" max="10006" width="11.42578125" style="30" customWidth="1"/>
    <col min="10007" max="10007" width="15.5703125" style="30" customWidth="1"/>
    <col min="10008" max="10230" width="9.140625" style="30"/>
    <col min="10231" max="10231" width="13.7109375" style="30" customWidth="1"/>
    <col min="10232" max="10232" width="14.5703125" style="30" customWidth="1"/>
    <col min="10233" max="10233" width="14.7109375" style="30" customWidth="1"/>
    <col min="10234" max="10234" width="14.5703125" style="30" customWidth="1"/>
    <col min="10235" max="10235" width="11" style="30" customWidth="1"/>
    <col min="10236" max="10237" width="10.42578125" style="30" customWidth="1"/>
    <col min="10238" max="10239" width="11" style="30" customWidth="1"/>
    <col min="10240" max="10240" width="14.7109375" style="30" customWidth="1"/>
    <col min="10241" max="10241" width="12.28515625" style="30" customWidth="1"/>
    <col min="10242" max="10242" width="10.42578125" style="30" customWidth="1"/>
    <col min="10243" max="10245" width="9.140625" style="30"/>
    <col min="10246" max="10246" width="12" style="30" customWidth="1"/>
    <col min="10247" max="10247" width="13.5703125" style="30" customWidth="1"/>
    <col min="10248" max="10248" width="16.85546875" style="30" bestFit="1" customWidth="1"/>
    <col min="10249" max="10251" width="7.42578125" style="30" customWidth="1"/>
    <col min="10252" max="10252" width="8.7109375" style="30" bestFit="1" customWidth="1"/>
    <col min="10253" max="10254" width="11.42578125" style="30" customWidth="1"/>
    <col min="10255" max="10255" width="14.140625" style="30" customWidth="1"/>
    <col min="10256" max="10256" width="13.42578125" style="30" customWidth="1"/>
    <col min="10257" max="10261" width="13" style="30" customWidth="1"/>
    <col min="10262" max="10262" width="11.42578125" style="30" customWidth="1"/>
    <col min="10263" max="10263" width="15.5703125" style="30" customWidth="1"/>
    <col min="10264" max="10486" width="9.140625" style="30"/>
    <col min="10487" max="10487" width="13.7109375" style="30" customWidth="1"/>
    <col min="10488" max="10488" width="14.5703125" style="30" customWidth="1"/>
    <col min="10489" max="10489" width="14.7109375" style="30" customWidth="1"/>
    <col min="10490" max="10490" width="14.5703125" style="30" customWidth="1"/>
    <col min="10491" max="10491" width="11" style="30" customWidth="1"/>
    <col min="10492" max="10493" width="10.42578125" style="30" customWidth="1"/>
    <col min="10494" max="10495" width="11" style="30" customWidth="1"/>
    <col min="10496" max="10496" width="14.7109375" style="30" customWidth="1"/>
    <col min="10497" max="10497" width="12.28515625" style="30" customWidth="1"/>
    <col min="10498" max="10498" width="10.42578125" style="30" customWidth="1"/>
    <col min="10499" max="10501" width="9.140625" style="30"/>
    <col min="10502" max="10502" width="12" style="30" customWidth="1"/>
    <col min="10503" max="10503" width="13.5703125" style="30" customWidth="1"/>
    <col min="10504" max="10504" width="16.85546875" style="30" bestFit="1" customWidth="1"/>
    <col min="10505" max="10507" width="7.42578125" style="30" customWidth="1"/>
    <col min="10508" max="10508" width="8.7109375" style="30" bestFit="1" customWidth="1"/>
    <col min="10509" max="10510" width="11.42578125" style="30" customWidth="1"/>
    <col min="10511" max="10511" width="14.140625" style="30" customWidth="1"/>
    <col min="10512" max="10512" width="13.42578125" style="30" customWidth="1"/>
    <col min="10513" max="10517" width="13" style="30" customWidth="1"/>
    <col min="10518" max="10518" width="11.42578125" style="30" customWidth="1"/>
    <col min="10519" max="10519" width="15.5703125" style="30" customWidth="1"/>
    <col min="10520" max="10742" width="9.140625" style="30"/>
    <col min="10743" max="10743" width="13.7109375" style="30" customWidth="1"/>
    <col min="10744" max="10744" width="14.5703125" style="30" customWidth="1"/>
    <col min="10745" max="10745" width="14.7109375" style="30" customWidth="1"/>
    <col min="10746" max="10746" width="14.5703125" style="30" customWidth="1"/>
    <col min="10747" max="10747" width="11" style="30" customWidth="1"/>
    <col min="10748" max="10749" width="10.42578125" style="30" customWidth="1"/>
    <col min="10750" max="10751" width="11" style="30" customWidth="1"/>
    <col min="10752" max="10752" width="14.7109375" style="30" customWidth="1"/>
    <col min="10753" max="10753" width="12.28515625" style="30" customWidth="1"/>
    <col min="10754" max="10754" width="10.42578125" style="30" customWidth="1"/>
    <col min="10755" max="10757" width="9.140625" style="30"/>
    <col min="10758" max="10758" width="12" style="30" customWidth="1"/>
    <col min="10759" max="10759" width="13.5703125" style="30" customWidth="1"/>
    <col min="10760" max="10760" width="16.85546875" style="30" bestFit="1" customWidth="1"/>
    <col min="10761" max="10763" width="7.42578125" style="30" customWidth="1"/>
    <col min="10764" max="10764" width="8.7109375" style="30" bestFit="1" customWidth="1"/>
    <col min="10765" max="10766" width="11.42578125" style="30" customWidth="1"/>
    <col min="10767" max="10767" width="14.140625" style="30" customWidth="1"/>
    <col min="10768" max="10768" width="13.42578125" style="30" customWidth="1"/>
    <col min="10769" max="10773" width="13" style="30" customWidth="1"/>
    <col min="10774" max="10774" width="11.42578125" style="30" customWidth="1"/>
    <col min="10775" max="10775" width="15.5703125" style="30" customWidth="1"/>
    <col min="10776" max="10998" width="9.140625" style="30"/>
    <col min="10999" max="10999" width="13.7109375" style="30" customWidth="1"/>
    <col min="11000" max="11000" width="14.5703125" style="30" customWidth="1"/>
    <col min="11001" max="11001" width="14.7109375" style="30" customWidth="1"/>
    <col min="11002" max="11002" width="14.5703125" style="30" customWidth="1"/>
    <col min="11003" max="11003" width="11" style="30" customWidth="1"/>
    <col min="11004" max="11005" width="10.42578125" style="30" customWidth="1"/>
    <col min="11006" max="11007" width="11" style="30" customWidth="1"/>
    <col min="11008" max="11008" width="14.7109375" style="30" customWidth="1"/>
    <col min="11009" max="11009" width="12.28515625" style="30" customWidth="1"/>
    <col min="11010" max="11010" width="10.42578125" style="30" customWidth="1"/>
    <col min="11011" max="11013" width="9.140625" style="30"/>
    <col min="11014" max="11014" width="12" style="30" customWidth="1"/>
    <col min="11015" max="11015" width="13.5703125" style="30" customWidth="1"/>
    <col min="11016" max="11016" width="16.85546875" style="30" bestFit="1" customWidth="1"/>
    <col min="11017" max="11019" width="7.42578125" style="30" customWidth="1"/>
    <col min="11020" max="11020" width="8.7109375" style="30" bestFit="1" customWidth="1"/>
    <col min="11021" max="11022" width="11.42578125" style="30" customWidth="1"/>
    <col min="11023" max="11023" width="14.140625" style="30" customWidth="1"/>
    <col min="11024" max="11024" width="13.42578125" style="30" customWidth="1"/>
    <col min="11025" max="11029" width="13" style="30" customWidth="1"/>
    <col min="11030" max="11030" width="11.42578125" style="30" customWidth="1"/>
    <col min="11031" max="11031" width="15.5703125" style="30" customWidth="1"/>
    <col min="11032" max="11254" width="9.140625" style="30"/>
    <col min="11255" max="11255" width="13.7109375" style="30" customWidth="1"/>
    <col min="11256" max="11256" width="14.5703125" style="30" customWidth="1"/>
    <col min="11257" max="11257" width="14.7109375" style="30" customWidth="1"/>
    <col min="11258" max="11258" width="14.5703125" style="30" customWidth="1"/>
    <col min="11259" max="11259" width="11" style="30" customWidth="1"/>
    <col min="11260" max="11261" width="10.42578125" style="30" customWidth="1"/>
    <col min="11262" max="11263" width="11" style="30" customWidth="1"/>
    <col min="11264" max="11264" width="14.7109375" style="30" customWidth="1"/>
    <col min="11265" max="11265" width="12.28515625" style="30" customWidth="1"/>
    <col min="11266" max="11266" width="10.42578125" style="30" customWidth="1"/>
    <col min="11267" max="11269" width="9.140625" style="30"/>
    <col min="11270" max="11270" width="12" style="30" customWidth="1"/>
    <col min="11271" max="11271" width="13.5703125" style="30" customWidth="1"/>
    <col min="11272" max="11272" width="16.85546875" style="30" bestFit="1" customWidth="1"/>
    <col min="11273" max="11275" width="7.42578125" style="30" customWidth="1"/>
    <col min="11276" max="11276" width="8.7109375" style="30" bestFit="1" customWidth="1"/>
    <col min="11277" max="11278" width="11.42578125" style="30" customWidth="1"/>
    <col min="11279" max="11279" width="14.140625" style="30" customWidth="1"/>
    <col min="11280" max="11280" width="13.42578125" style="30" customWidth="1"/>
    <col min="11281" max="11285" width="13" style="30" customWidth="1"/>
    <col min="11286" max="11286" width="11.42578125" style="30" customWidth="1"/>
    <col min="11287" max="11287" width="15.5703125" style="30" customWidth="1"/>
    <col min="11288" max="11510" width="9.140625" style="30"/>
    <col min="11511" max="11511" width="13.7109375" style="30" customWidth="1"/>
    <col min="11512" max="11512" width="14.5703125" style="30" customWidth="1"/>
    <col min="11513" max="11513" width="14.7109375" style="30" customWidth="1"/>
    <col min="11514" max="11514" width="14.5703125" style="30" customWidth="1"/>
    <col min="11515" max="11515" width="11" style="30" customWidth="1"/>
    <col min="11516" max="11517" width="10.42578125" style="30" customWidth="1"/>
    <col min="11518" max="11519" width="11" style="30" customWidth="1"/>
    <col min="11520" max="11520" width="14.7109375" style="30" customWidth="1"/>
    <col min="11521" max="11521" width="12.28515625" style="30" customWidth="1"/>
    <col min="11522" max="11522" width="10.42578125" style="30" customWidth="1"/>
    <col min="11523" max="11525" width="9.140625" style="30"/>
    <col min="11526" max="11526" width="12" style="30" customWidth="1"/>
    <col min="11527" max="11527" width="13.5703125" style="30" customWidth="1"/>
    <col min="11528" max="11528" width="16.85546875" style="30" bestFit="1" customWidth="1"/>
    <col min="11529" max="11531" width="7.42578125" style="30" customWidth="1"/>
    <col min="11532" max="11532" width="8.7109375" style="30" bestFit="1" customWidth="1"/>
    <col min="11533" max="11534" width="11.42578125" style="30" customWidth="1"/>
    <col min="11535" max="11535" width="14.140625" style="30" customWidth="1"/>
    <col min="11536" max="11536" width="13.42578125" style="30" customWidth="1"/>
    <col min="11537" max="11541" width="13" style="30" customWidth="1"/>
    <col min="11542" max="11542" width="11.42578125" style="30" customWidth="1"/>
    <col min="11543" max="11543" width="15.5703125" style="30" customWidth="1"/>
    <col min="11544" max="11766" width="9.140625" style="30"/>
    <col min="11767" max="11767" width="13.7109375" style="30" customWidth="1"/>
    <col min="11768" max="11768" width="14.5703125" style="30" customWidth="1"/>
    <col min="11769" max="11769" width="14.7109375" style="30" customWidth="1"/>
    <col min="11770" max="11770" width="14.5703125" style="30" customWidth="1"/>
    <col min="11771" max="11771" width="11" style="30" customWidth="1"/>
    <col min="11772" max="11773" width="10.42578125" style="30" customWidth="1"/>
    <col min="11774" max="11775" width="11" style="30" customWidth="1"/>
    <col min="11776" max="11776" width="14.7109375" style="30" customWidth="1"/>
    <col min="11777" max="11777" width="12.28515625" style="30" customWidth="1"/>
    <col min="11778" max="11778" width="10.42578125" style="30" customWidth="1"/>
    <col min="11779" max="11781" width="9.140625" style="30"/>
    <col min="11782" max="11782" width="12" style="30" customWidth="1"/>
    <col min="11783" max="11783" width="13.5703125" style="30" customWidth="1"/>
    <col min="11784" max="11784" width="16.85546875" style="30" bestFit="1" customWidth="1"/>
    <col min="11785" max="11787" width="7.42578125" style="30" customWidth="1"/>
    <col min="11788" max="11788" width="8.7109375" style="30" bestFit="1" customWidth="1"/>
    <col min="11789" max="11790" width="11.42578125" style="30" customWidth="1"/>
    <col min="11791" max="11791" width="14.140625" style="30" customWidth="1"/>
    <col min="11792" max="11792" width="13.42578125" style="30" customWidth="1"/>
    <col min="11793" max="11797" width="13" style="30" customWidth="1"/>
    <col min="11798" max="11798" width="11.42578125" style="30" customWidth="1"/>
    <col min="11799" max="11799" width="15.5703125" style="30" customWidth="1"/>
    <col min="11800" max="12022" width="9.140625" style="30"/>
    <col min="12023" max="12023" width="13.7109375" style="30" customWidth="1"/>
    <col min="12024" max="12024" width="14.5703125" style="30" customWidth="1"/>
    <col min="12025" max="12025" width="14.7109375" style="30" customWidth="1"/>
    <col min="12026" max="12026" width="14.5703125" style="30" customWidth="1"/>
    <col min="12027" max="12027" width="11" style="30" customWidth="1"/>
    <col min="12028" max="12029" width="10.42578125" style="30" customWidth="1"/>
    <col min="12030" max="12031" width="11" style="30" customWidth="1"/>
    <col min="12032" max="12032" width="14.7109375" style="30" customWidth="1"/>
    <col min="12033" max="12033" width="12.28515625" style="30" customWidth="1"/>
    <col min="12034" max="12034" width="10.42578125" style="30" customWidth="1"/>
    <col min="12035" max="12037" width="9.140625" style="30"/>
    <col min="12038" max="12038" width="12" style="30" customWidth="1"/>
    <col min="12039" max="12039" width="13.5703125" style="30" customWidth="1"/>
    <col min="12040" max="12040" width="16.85546875" style="30" bestFit="1" customWidth="1"/>
    <col min="12041" max="12043" width="7.42578125" style="30" customWidth="1"/>
    <col min="12044" max="12044" width="8.7109375" style="30" bestFit="1" customWidth="1"/>
    <col min="12045" max="12046" width="11.42578125" style="30" customWidth="1"/>
    <col min="12047" max="12047" width="14.140625" style="30" customWidth="1"/>
    <col min="12048" max="12048" width="13.42578125" style="30" customWidth="1"/>
    <col min="12049" max="12053" width="13" style="30" customWidth="1"/>
    <col min="12054" max="12054" width="11.42578125" style="30" customWidth="1"/>
    <col min="12055" max="12055" width="15.5703125" style="30" customWidth="1"/>
    <col min="12056" max="12278" width="9.140625" style="30"/>
    <col min="12279" max="12279" width="13.7109375" style="30" customWidth="1"/>
    <col min="12280" max="12280" width="14.5703125" style="30" customWidth="1"/>
    <col min="12281" max="12281" width="14.7109375" style="30" customWidth="1"/>
    <col min="12282" max="12282" width="14.5703125" style="30" customWidth="1"/>
    <col min="12283" max="12283" width="11" style="30" customWidth="1"/>
    <col min="12284" max="12285" width="10.42578125" style="30" customWidth="1"/>
    <col min="12286" max="12287" width="11" style="30" customWidth="1"/>
    <col min="12288" max="12288" width="14.7109375" style="30" customWidth="1"/>
    <col min="12289" max="12289" width="12.28515625" style="30" customWidth="1"/>
    <col min="12290" max="12290" width="10.42578125" style="30" customWidth="1"/>
    <col min="12291" max="12293" width="9.140625" style="30"/>
    <col min="12294" max="12294" width="12" style="30" customWidth="1"/>
    <col min="12295" max="12295" width="13.5703125" style="30" customWidth="1"/>
    <col min="12296" max="12296" width="16.85546875" style="30" bestFit="1" customWidth="1"/>
    <col min="12297" max="12299" width="7.42578125" style="30" customWidth="1"/>
    <col min="12300" max="12300" width="8.7109375" style="30" bestFit="1" customWidth="1"/>
    <col min="12301" max="12302" width="11.42578125" style="30" customWidth="1"/>
    <col min="12303" max="12303" width="14.140625" style="30" customWidth="1"/>
    <col min="12304" max="12304" width="13.42578125" style="30" customWidth="1"/>
    <col min="12305" max="12309" width="13" style="30" customWidth="1"/>
    <col min="12310" max="12310" width="11.42578125" style="30" customWidth="1"/>
    <col min="12311" max="12311" width="15.5703125" style="30" customWidth="1"/>
    <col min="12312" max="12534" width="9.140625" style="30"/>
    <col min="12535" max="12535" width="13.7109375" style="30" customWidth="1"/>
    <col min="12536" max="12536" width="14.5703125" style="30" customWidth="1"/>
    <col min="12537" max="12537" width="14.7109375" style="30" customWidth="1"/>
    <col min="12538" max="12538" width="14.5703125" style="30" customWidth="1"/>
    <col min="12539" max="12539" width="11" style="30" customWidth="1"/>
    <col min="12540" max="12541" width="10.42578125" style="30" customWidth="1"/>
    <col min="12542" max="12543" width="11" style="30" customWidth="1"/>
    <col min="12544" max="12544" width="14.7109375" style="30" customWidth="1"/>
    <col min="12545" max="12545" width="12.28515625" style="30" customWidth="1"/>
    <col min="12546" max="12546" width="10.42578125" style="30" customWidth="1"/>
    <col min="12547" max="12549" width="9.140625" style="30"/>
    <col min="12550" max="12550" width="12" style="30" customWidth="1"/>
    <col min="12551" max="12551" width="13.5703125" style="30" customWidth="1"/>
    <col min="12552" max="12552" width="16.85546875" style="30" bestFit="1" customWidth="1"/>
    <col min="12553" max="12555" width="7.42578125" style="30" customWidth="1"/>
    <col min="12556" max="12556" width="8.7109375" style="30" bestFit="1" customWidth="1"/>
    <col min="12557" max="12558" width="11.42578125" style="30" customWidth="1"/>
    <col min="12559" max="12559" width="14.140625" style="30" customWidth="1"/>
    <col min="12560" max="12560" width="13.42578125" style="30" customWidth="1"/>
    <col min="12561" max="12565" width="13" style="30" customWidth="1"/>
    <col min="12566" max="12566" width="11.42578125" style="30" customWidth="1"/>
    <col min="12567" max="12567" width="15.5703125" style="30" customWidth="1"/>
    <col min="12568" max="12790" width="9.140625" style="30"/>
    <col min="12791" max="12791" width="13.7109375" style="30" customWidth="1"/>
    <col min="12792" max="12792" width="14.5703125" style="30" customWidth="1"/>
    <col min="12793" max="12793" width="14.7109375" style="30" customWidth="1"/>
    <col min="12794" max="12794" width="14.5703125" style="30" customWidth="1"/>
    <col min="12795" max="12795" width="11" style="30" customWidth="1"/>
    <col min="12796" max="12797" width="10.42578125" style="30" customWidth="1"/>
    <col min="12798" max="12799" width="11" style="30" customWidth="1"/>
    <col min="12800" max="12800" width="14.7109375" style="30" customWidth="1"/>
    <col min="12801" max="12801" width="12.28515625" style="30" customWidth="1"/>
    <col min="12802" max="12802" width="10.42578125" style="30" customWidth="1"/>
    <col min="12803" max="12805" width="9.140625" style="30"/>
    <col min="12806" max="12806" width="12" style="30" customWidth="1"/>
    <col min="12807" max="12807" width="13.5703125" style="30" customWidth="1"/>
    <col min="12808" max="12808" width="16.85546875" style="30" bestFit="1" customWidth="1"/>
    <col min="12809" max="12811" width="7.42578125" style="30" customWidth="1"/>
    <col min="12812" max="12812" width="8.7109375" style="30" bestFit="1" customWidth="1"/>
    <col min="12813" max="12814" width="11.42578125" style="30" customWidth="1"/>
    <col min="12815" max="12815" width="14.140625" style="30" customWidth="1"/>
    <col min="12816" max="12816" width="13.42578125" style="30" customWidth="1"/>
    <col min="12817" max="12821" width="13" style="30" customWidth="1"/>
    <col min="12822" max="12822" width="11.42578125" style="30" customWidth="1"/>
    <col min="12823" max="12823" width="15.5703125" style="30" customWidth="1"/>
    <col min="12824" max="13046" width="9.140625" style="30"/>
    <col min="13047" max="13047" width="13.7109375" style="30" customWidth="1"/>
    <col min="13048" max="13048" width="14.5703125" style="30" customWidth="1"/>
    <col min="13049" max="13049" width="14.7109375" style="30" customWidth="1"/>
    <col min="13050" max="13050" width="14.5703125" style="30" customWidth="1"/>
    <col min="13051" max="13051" width="11" style="30" customWidth="1"/>
    <col min="13052" max="13053" width="10.42578125" style="30" customWidth="1"/>
    <col min="13054" max="13055" width="11" style="30" customWidth="1"/>
    <col min="13056" max="13056" width="14.7109375" style="30" customWidth="1"/>
    <col min="13057" max="13057" width="12.28515625" style="30" customWidth="1"/>
    <col min="13058" max="13058" width="10.42578125" style="30" customWidth="1"/>
    <col min="13059" max="13061" width="9.140625" style="30"/>
    <col min="13062" max="13062" width="12" style="30" customWidth="1"/>
    <col min="13063" max="13063" width="13.5703125" style="30" customWidth="1"/>
    <col min="13064" max="13064" width="16.85546875" style="30" bestFit="1" customWidth="1"/>
    <col min="13065" max="13067" width="7.42578125" style="30" customWidth="1"/>
    <col min="13068" max="13068" width="8.7109375" style="30" bestFit="1" customWidth="1"/>
    <col min="13069" max="13070" width="11.42578125" style="30" customWidth="1"/>
    <col min="13071" max="13071" width="14.140625" style="30" customWidth="1"/>
    <col min="13072" max="13072" width="13.42578125" style="30" customWidth="1"/>
    <col min="13073" max="13077" width="13" style="30" customWidth="1"/>
    <col min="13078" max="13078" width="11.42578125" style="30" customWidth="1"/>
    <col min="13079" max="13079" width="15.5703125" style="30" customWidth="1"/>
    <col min="13080" max="13302" width="9.140625" style="30"/>
    <col min="13303" max="13303" width="13.7109375" style="30" customWidth="1"/>
    <col min="13304" max="13304" width="14.5703125" style="30" customWidth="1"/>
    <col min="13305" max="13305" width="14.7109375" style="30" customWidth="1"/>
    <col min="13306" max="13306" width="14.5703125" style="30" customWidth="1"/>
    <col min="13307" max="13307" width="11" style="30" customWidth="1"/>
    <col min="13308" max="13309" width="10.42578125" style="30" customWidth="1"/>
    <col min="13310" max="13311" width="11" style="30" customWidth="1"/>
    <col min="13312" max="13312" width="14.7109375" style="30" customWidth="1"/>
    <col min="13313" max="13313" width="12.28515625" style="30" customWidth="1"/>
    <col min="13314" max="13314" width="10.42578125" style="30" customWidth="1"/>
    <col min="13315" max="13317" width="9.140625" style="30"/>
    <col min="13318" max="13318" width="12" style="30" customWidth="1"/>
    <col min="13319" max="13319" width="13.5703125" style="30" customWidth="1"/>
    <col min="13320" max="13320" width="16.85546875" style="30" bestFit="1" customWidth="1"/>
    <col min="13321" max="13323" width="7.42578125" style="30" customWidth="1"/>
    <col min="13324" max="13324" width="8.7109375" style="30" bestFit="1" customWidth="1"/>
    <col min="13325" max="13326" width="11.42578125" style="30" customWidth="1"/>
    <col min="13327" max="13327" width="14.140625" style="30" customWidth="1"/>
    <col min="13328" max="13328" width="13.42578125" style="30" customWidth="1"/>
    <col min="13329" max="13333" width="13" style="30" customWidth="1"/>
    <col min="13334" max="13334" width="11.42578125" style="30" customWidth="1"/>
    <col min="13335" max="13335" width="15.5703125" style="30" customWidth="1"/>
    <col min="13336" max="13558" width="9.140625" style="30"/>
    <col min="13559" max="13559" width="13.7109375" style="30" customWidth="1"/>
    <col min="13560" max="13560" width="14.5703125" style="30" customWidth="1"/>
    <col min="13561" max="13561" width="14.7109375" style="30" customWidth="1"/>
    <col min="13562" max="13562" width="14.5703125" style="30" customWidth="1"/>
    <col min="13563" max="13563" width="11" style="30" customWidth="1"/>
    <col min="13564" max="13565" width="10.42578125" style="30" customWidth="1"/>
    <col min="13566" max="13567" width="11" style="30" customWidth="1"/>
    <col min="13568" max="13568" width="14.7109375" style="30" customWidth="1"/>
    <col min="13569" max="13569" width="12.28515625" style="30" customWidth="1"/>
    <col min="13570" max="13570" width="10.42578125" style="30" customWidth="1"/>
    <col min="13571" max="13573" width="9.140625" style="30"/>
    <col min="13574" max="13574" width="12" style="30" customWidth="1"/>
    <col min="13575" max="13575" width="13.5703125" style="30" customWidth="1"/>
    <col min="13576" max="13576" width="16.85546875" style="30" bestFit="1" customWidth="1"/>
    <col min="13577" max="13579" width="7.42578125" style="30" customWidth="1"/>
    <col min="13580" max="13580" width="8.7109375" style="30" bestFit="1" customWidth="1"/>
    <col min="13581" max="13582" width="11.42578125" style="30" customWidth="1"/>
    <col min="13583" max="13583" width="14.140625" style="30" customWidth="1"/>
    <col min="13584" max="13584" width="13.42578125" style="30" customWidth="1"/>
    <col min="13585" max="13589" width="13" style="30" customWidth="1"/>
    <col min="13590" max="13590" width="11.42578125" style="30" customWidth="1"/>
    <col min="13591" max="13591" width="15.5703125" style="30" customWidth="1"/>
    <col min="13592" max="13814" width="9.140625" style="30"/>
    <col min="13815" max="13815" width="13.7109375" style="30" customWidth="1"/>
    <col min="13816" max="13816" width="14.5703125" style="30" customWidth="1"/>
    <col min="13817" max="13817" width="14.7109375" style="30" customWidth="1"/>
    <col min="13818" max="13818" width="14.5703125" style="30" customWidth="1"/>
    <col min="13819" max="13819" width="11" style="30" customWidth="1"/>
    <col min="13820" max="13821" width="10.42578125" style="30" customWidth="1"/>
    <col min="13822" max="13823" width="11" style="30" customWidth="1"/>
    <col min="13824" max="13824" width="14.7109375" style="30" customWidth="1"/>
    <col min="13825" max="13825" width="12.28515625" style="30" customWidth="1"/>
    <col min="13826" max="13826" width="10.42578125" style="30" customWidth="1"/>
    <col min="13827" max="13829" width="9.140625" style="30"/>
    <col min="13830" max="13830" width="12" style="30" customWidth="1"/>
    <col min="13831" max="13831" width="13.5703125" style="30" customWidth="1"/>
    <col min="13832" max="13832" width="16.85546875" style="30" bestFit="1" customWidth="1"/>
    <col min="13833" max="13835" width="7.42578125" style="30" customWidth="1"/>
    <col min="13836" max="13836" width="8.7109375" style="30" bestFit="1" customWidth="1"/>
    <col min="13837" max="13838" width="11.42578125" style="30" customWidth="1"/>
    <col min="13839" max="13839" width="14.140625" style="30" customWidth="1"/>
    <col min="13840" max="13840" width="13.42578125" style="30" customWidth="1"/>
    <col min="13841" max="13845" width="13" style="30" customWidth="1"/>
    <col min="13846" max="13846" width="11.42578125" style="30" customWidth="1"/>
    <col min="13847" max="13847" width="15.5703125" style="30" customWidth="1"/>
    <col min="13848" max="14070" width="9.140625" style="30"/>
    <col min="14071" max="14071" width="13.7109375" style="30" customWidth="1"/>
    <col min="14072" max="14072" width="14.5703125" style="30" customWidth="1"/>
    <col min="14073" max="14073" width="14.7109375" style="30" customWidth="1"/>
    <col min="14074" max="14074" width="14.5703125" style="30" customWidth="1"/>
    <col min="14075" max="14075" width="11" style="30" customWidth="1"/>
    <col min="14076" max="14077" width="10.42578125" style="30" customWidth="1"/>
    <col min="14078" max="14079" width="11" style="30" customWidth="1"/>
    <col min="14080" max="14080" width="14.7109375" style="30" customWidth="1"/>
    <col min="14081" max="14081" width="12.28515625" style="30" customWidth="1"/>
    <col min="14082" max="14082" width="10.42578125" style="30" customWidth="1"/>
    <col min="14083" max="14085" width="9.140625" style="30"/>
    <col min="14086" max="14086" width="12" style="30" customWidth="1"/>
    <col min="14087" max="14087" width="13.5703125" style="30" customWidth="1"/>
    <col min="14088" max="14088" width="16.85546875" style="30" bestFit="1" customWidth="1"/>
    <col min="14089" max="14091" width="7.42578125" style="30" customWidth="1"/>
    <col min="14092" max="14092" width="8.7109375" style="30" bestFit="1" customWidth="1"/>
    <col min="14093" max="14094" width="11.42578125" style="30" customWidth="1"/>
    <col min="14095" max="14095" width="14.140625" style="30" customWidth="1"/>
    <col min="14096" max="14096" width="13.42578125" style="30" customWidth="1"/>
    <col min="14097" max="14101" width="13" style="30" customWidth="1"/>
    <col min="14102" max="14102" width="11.42578125" style="30" customWidth="1"/>
    <col min="14103" max="14103" width="15.5703125" style="30" customWidth="1"/>
    <col min="14104" max="14326" width="9.140625" style="30"/>
    <col min="14327" max="14327" width="13.7109375" style="30" customWidth="1"/>
    <col min="14328" max="14328" width="14.5703125" style="30" customWidth="1"/>
    <col min="14329" max="14329" width="14.7109375" style="30" customWidth="1"/>
    <col min="14330" max="14330" width="14.5703125" style="30" customWidth="1"/>
    <col min="14331" max="14331" width="11" style="30" customWidth="1"/>
    <col min="14332" max="14333" width="10.42578125" style="30" customWidth="1"/>
    <col min="14334" max="14335" width="11" style="30" customWidth="1"/>
    <col min="14336" max="14336" width="14.7109375" style="30" customWidth="1"/>
    <col min="14337" max="14337" width="12.28515625" style="30" customWidth="1"/>
    <col min="14338" max="14338" width="10.42578125" style="30" customWidth="1"/>
    <col min="14339" max="14341" width="9.140625" style="30"/>
    <col min="14342" max="14342" width="12" style="30" customWidth="1"/>
    <col min="14343" max="14343" width="13.5703125" style="30" customWidth="1"/>
    <col min="14344" max="14344" width="16.85546875" style="30" bestFit="1" customWidth="1"/>
    <col min="14345" max="14347" width="7.42578125" style="30" customWidth="1"/>
    <col min="14348" max="14348" width="8.7109375" style="30" bestFit="1" customWidth="1"/>
    <col min="14349" max="14350" width="11.42578125" style="30" customWidth="1"/>
    <col min="14351" max="14351" width="14.140625" style="30" customWidth="1"/>
    <col min="14352" max="14352" width="13.42578125" style="30" customWidth="1"/>
    <col min="14353" max="14357" width="13" style="30" customWidth="1"/>
    <col min="14358" max="14358" width="11.42578125" style="30" customWidth="1"/>
    <col min="14359" max="14359" width="15.5703125" style="30" customWidth="1"/>
    <col min="14360" max="14582" width="9.140625" style="30"/>
    <col min="14583" max="14583" width="13.7109375" style="30" customWidth="1"/>
    <col min="14584" max="14584" width="14.5703125" style="30" customWidth="1"/>
    <col min="14585" max="14585" width="14.7109375" style="30" customWidth="1"/>
    <col min="14586" max="14586" width="14.5703125" style="30" customWidth="1"/>
    <col min="14587" max="14587" width="11" style="30" customWidth="1"/>
    <col min="14588" max="14589" width="10.42578125" style="30" customWidth="1"/>
    <col min="14590" max="14591" width="11" style="30" customWidth="1"/>
    <col min="14592" max="14592" width="14.7109375" style="30" customWidth="1"/>
    <col min="14593" max="14593" width="12.28515625" style="30" customWidth="1"/>
    <col min="14594" max="14594" width="10.42578125" style="30" customWidth="1"/>
    <col min="14595" max="14597" width="9.140625" style="30"/>
    <col min="14598" max="14598" width="12" style="30" customWidth="1"/>
    <col min="14599" max="14599" width="13.5703125" style="30" customWidth="1"/>
    <col min="14600" max="14600" width="16.85546875" style="30" bestFit="1" customWidth="1"/>
    <col min="14601" max="14603" width="7.42578125" style="30" customWidth="1"/>
    <col min="14604" max="14604" width="8.7109375" style="30" bestFit="1" customWidth="1"/>
    <col min="14605" max="14606" width="11.42578125" style="30" customWidth="1"/>
    <col min="14607" max="14607" width="14.140625" style="30" customWidth="1"/>
    <col min="14608" max="14608" width="13.42578125" style="30" customWidth="1"/>
    <col min="14609" max="14613" width="13" style="30" customWidth="1"/>
    <col min="14614" max="14614" width="11.42578125" style="30" customWidth="1"/>
    <col min="14615" max="14615" width="15.5703125" style="30" customWidth="1"/>
    <col min="14616" max="14838" width="9.140625" style="30"/>
    <col min="14839" max="14839" width="13.7109375" style="30" customWidth="1"/>
    <col min="14840" max="14840" width="14.5703125" style="30" customWidth="1"/>
    <col min="14841" max="14841" width="14.7109375" style="30" customWidth="1"/>
    <col min="14842" max="14842" width="14.5703125" style="30" customWidth="1"/>
    <col min="14843" max="14843" width="11" style="30" customWidth="1"/>
    <col min="14844" max="14845" width="10.42578125" style="30" customWidth="1"/>
    <col min="14846" max="14847" width="11" style="30" customWidth="1"/>
    <col min="14848" max="14848" width="14.7109375" style="30" customWidth="1"/>
    <col min="14849" max="14849" width="12.28515625" style="30" customWidth="1"/>
    <col min="14850" max="14850" width="10.42578125" style="30" customWidth="1"/>
    <col min="14851" max="14853" width="9.140625" style="30"/>
    <col min="14854" max="14854" width="12" style="30" customWidth="1"/>
    <col min="14855" max="14855" width="13.5703125" style="30" customWidth="1"/>
    <col min="14856" max="14856" width="16.85546875" style="30" bestFit="1" customWidth="1"/>
    <col min="14857" max="14859" width="7.42578125" style="30" customWidth="1"/>
    <col min="14860" max="14860" width="8.7109375" style="30" bestFit="1" customWidth="1"/>
    <col min="14861" max="14862" width="11.42578125" style="30" customWidth="1"/>
    <col min="14863" max="14863" width="14.140625" style="30" customWidth="1"/>
    <col min="14864" max="14864" width="13.42578125" style="30" customWidth="1"/>
    <col min="14865" max="14869" width="13" style="30" customWidth="1"/>
    <col min="14870" max="14870" width="11.42578125" style="30" customWidth="1"/>
    <col min="14871" max="14871" width="15.5703125" style="30" customWidth="1"/>
    <col min="14872" max="15094" width="9.140625" style="30"/>
    <col min="15095" max="15095" width="13.7109375" style="30" customWidth="1"/>
    <col min="15096" max="15096" width="14.5703125" style="30" customWidth="1"/>
    <col min="15097" max="15097" width="14.7109375" style="30" customWidth="1"/>
    <col min="15098" max="15098" width="14.5703125" style="30" customWidth="1"/>
    <col min="15099" max="15099" width="11" style="30" customWidth="1"/>
    <col min="15100" max="15101" width="10.42578125" style="30" customWidth="1"/>
    <col min="15102" max="15103" width="11" style="30" customWidth="1"/>
    <col min="15104" max="15104" width="14.7109375" style="30" customWidth="1"/>
    <col min="15105" max="15105" width="12.28515625" style="30" customWidth="1"/>
    <col min="15106" max="15106" width="10.42578125" style="30" customWidth="1"/>
    <col min="15107" max="15109" width="9.140625" style="30"/>
    <col min="15110" max="15110" width="12" style="30" customWidth="1"/>
    <col min="15111" max="15111" width="13.5703125" style="30" customWidth="1"/>
    <col min="15112" max="15112" width="16.85546875" style="30" bestFit="1" customWidth="1"/>
    <col min="15113" max="15115" width="7.42578125" style="30" customWidth="1"/>
    <col min="15116" max="15116" width="8.7109375" style="30" bestFit="1" customWidth="1"/>
    <col min="15117" max="15118" width="11.42578125" style="30" customWidth="1"/>
    <col min="15119" max="15119" width="14.140625" style="30" customWidth="1"/>
    <col min="15120" max="15120" width="13.42578125" style="30" customWidth="1"/>
    <col min="15121" max="15125" width="13" style="30" customWidth="1"/>
    <col min="15126" max="15126" width="11.42578125" style="30" customWidth="1"/>
    <col min="15127" max="15127" width="15.5703125" style="30" customWidth="1"/>
    <col min="15128" max="15350" width="9.140625" style="30"/>
    <col min="15351" max="15351" width="13.7109375" style="30" customWidth="1"/>
    <col min="15352" max="15352" width="14.5703125" style="30" customWidth="1"/>
    <col min="15353" max="15353" width="14.7109375" style="30" customWidth="1"/>
    <col min="15354" max="15354" width="14.5703125" style="30" customWidth="1"/>
    <col min="15355" max="15355" width="11" style="30" customWidth="1"/>
    <col min="15356" max="15357" width="10.42578125" style="30" customWidth="1"/>
    <col min="15358" max="15359" width="11" style="30" customWidth="1"/>
    <col min="15360" max="15360" width="14.7109375" style="30" customWidth="1"/>
    <col min="15361" max="15361" width="12.28515625" style="30" customWidth="1"/>
    <col min="15362" max="15362" width="10.42578125" style="30" customWidth="1"/>
    <col min="15363" max="15365" width="9.140625" style="30"/>
    <col min="15366" max="15366" width="12" style="30" customWidth="1"/>
    <col min="15367" max="15367" width="13.5703125" style="30" customWidth="1"/>
    <col min="15368" max="15368" width="16.85546875" style="30" bestFit="1" customWidth="1"/>
    <col min="15369" max="15371" width="7.42578125" style="30" customWidth="1"/>
    <col min="15372" max="15372" width="8.7109375" style="30" bestFit="1" customWidth="1"/>
    <col min="15373" max="15374" width="11.42578125" style="30" customWidth="1"/>
    <col min="15375" max="15375" width="14.140625" style="30" customWidth="1"/>
    <col min="15376" max="15376" width="13.42578125" style="30" customWidth="1"/>
    <col min="15377" max="15381" width="13" style="30" customWidth="1"/>
    <col min="15382" max="15382" width="11.42578125" style="30" customWidth="1"/>
    <col min="15383" max="15383" width="15.5703125" style="30" customWidth="1"/>
    <col min="15384" max="15606" width="9.140625" style="30"/>
    <col min="15607" max="15607" width="13.7109375" style="30" customWidth="1"/>
    <col min="15608" max="15608" width="14.5703125" style="30" customWidth="1"/>
    <col min="15609" max="15609" width="14.7109375" style="30" customWidth="1"/>
    <col min="15610" max="15610" width="14.5703125" style="30" customWidth="1"/>
    <col min="15611" max="15611" width="11" style="30" customWidth="1"/>
    <col min="15612" max="15613" width="10.42578125" style="30" customWidth="1"/>
    <col min="15614" max="15615" width="11" style="30" customWidth="1"/>
    <col min="15616" max="15616" width="14.7109375" style="30" customWidth="1"/>
    <col min="15617" max="15617" width="12.28515625" style="30" customWidth="1"/>
    <col min="15618" max="15618" width="10.42578125" style="30" customWidth="1"/>
    <col min="15619" max="15621" width="9.140625" style="30"/>
    <col min="15622" max="15622" width="12" style="30" customWidth="1"/>
    <col min="15623" max="15623" width="13.5703125" style="30" customWidth="1"/>
    <col min="15624" max="15624" width="16.85546875" style="30" bestFit="1" customWidth="1"/>
    <col min="15625" max="15627" width="7.42578125" style="30" customWidth="1"/>
    <col min="15628" max="15628" width="8.7109375" style="30" bestFit="1" customWidth="1"/>
    <col min="15629" max="15630" width="11.42578125" style="30" customWidth="1"/>
    <col min="15631" max="15631" width="14.140625" style="30" customWidth="1"/>
    <col min="15632" max="15632" width="13.42578125" style="30" customWidth="1"/>
    <col min="15633" max="15637" width="13" style="30" customWidth="1"/>
    <col min="15638" max="15638" width="11.42578125" style="30" customWidth="1"/>
    <col min="15639" max="15639" width="15.5703125" style="30" customWidth="1"/>
    <col min="15640" max="15862" width="9.140625" style="30"/>
    <col min="15863" max="15863" width="13.7109375" style="30" customWidth="1"/>
    <col min="15864" max="15864" width="14.5703125" style="30" customWidth="1"/>
    <col min="15865" max="15865" width="14.7109375" style="30" customWidth="1"/>
    <col min="15866" max="15866" width="14.5703125" style="30" customWidth="1"/>
    <col min="15867" max="15867" width="11" style="30" customWidth="1"/>
    <col min="15868" max="15869" width="10.42578125" style="30" customWidth="1"/>
    <col min="15870" max="15871" width="11" style="30" customWidth="1"/>
    <col min="15872" max="15872" width="14.7109375" style="30" customWidth="1"/>
    <col min="15873" max="15873" width="12.28515625" style="30" customWidth="1"/>
    <col min="15874" max="15874" width="10.42578125" style="30" customWidth="1"/>
    <col min="15875" max="15877" width="9.140625" style="30"/>
    <col min="15878" max="15878" width="12" style="30" customWidth="1"/>
    <col min="15879" max="15879" width="13.5703125" style="30" customWidth="1"/>
    <col min="15880" max="15880" width="16.85546875" style="30" bestFit="1" customWidth="1"/>
    <col min="15881" max="15883" width="7.42578125" style="30" customWidth="1"/>
    <col min="15884" max="15884" width="8.7109375" style="30" bestFit="1" customWidth="1"/>
    <col min="15885" max="15886" width="11.42578125" style="30" customWidth="1"/>
    <col min="15887" max="15887" width="14.140625" style="30" customWidth="1"/>
    <col min="15888" max="15888" width="13.42578125" style="30" customWidth="1"/>
    <col min="15889" max="15893" width="13" style="30" customWidth="1"/>
    <col min="15894" max="15894" width="11.42578125" style="30" customWidth="1"/>
    <col min="15895" max="15895" width="15.5703125" style="30" customWidth="1"/>
    <col min="15896" max="16118" width="9.140625" style="30"/>
    <col min="16119" max="16119" width="13.7109375" style="30" customWidth="1"/>
    <col min="16120" max="16120" width="14.5703125" style="30" customWidth="1"/>
    <col min="16121" max="16121" width="14.7109375" style="30" customWidth="1"/>
    <col min="16122" max="16122" width="14.5703125" style="30" customWidth="1"/>
    <col min="16123" max="16123" width="11" style="30" customWidth="1"/>
    <col min="16124" max="16125" width="10.42578125" style="30" customWidth="1"/>
    <col min="16126" max="16127" width="11" style="30" customWidth="1"/>
    <col min="16128" max="16128" width="14.7109375" style="30" customWidth="1"/>
    <col min="16129" max="16129" width="12.28515625" style="30" customWidth="1"/>
    <col min="16130" max="16130" width="10.42578125" style="30" customWidth="1"/>
    <col min="16131" max="16133" width="9.140625" style="30"/>
    <col min="16134" max="16134" width="12" style="30" customWidth="1"/>
    <col min="16135" max="16135" width="13.5703125" style="30" customWidth="1"/>
    <col min="16136" max="16136" width="16.85546875" style="30" bestFit="1" customWidth="1"/>
    <col min="16137" max="16139" width="7.42578125" style="30" customWidth="1"/>
    <col min="16140" max="16140" width="8.7109375" style="30" bestFit="1" customWidth="1"/>
    <col min="16141" max="16142" width="11.42578125" style="30" customWidth="1"/>
    <col min="16143" max="16143" width="14.140625" style="30" customWidth="1"/>
    <col min="16144" max="16144" width="13.42578125" style="30" customWidth="1"/>
    <col min="16145" max="16149" width="13" style="30" customWidth="1"/>
    <col min="16150" max="16150" width="11.42578125" style="30" customWidth="1"/>
    <col min="16151" max="16151" width="15.5703125" style="30" customWidth="1"/>
    <col min="16152" max="16384" width="9.140625" style="30"/>
  </cols>
  <sheetData>
    <row r="1" spans="1:28" ht="15" customHeight="1">
      <c r="B1" s="357" t="s">
        <v>121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</row>
    <row r="2" spans="1:28" ht="15.75" customHeight="1" thickBot="1"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</row>
    <row r="3" spans="1:28" s="70" customFormat="1" ht="52.5" customHeight="1">
      <c r="A3" s="72" t="s">
        <v>120</v>
      </c>
      <c r="B3" s="73" t="s">
        <v>47</v>
      </c>
      <c r="C3" s="74" t="s">
        <v>30</v>
      </c>
      <c r="D3" s="75" t="s">
        <v>41</v>
      </c>
      <c r="E3" s="76" t="s">
        <v>48</v>
      </c>
      <c r="F3" s="76" t="s">
        <v>49</v>
      </c>
      <c r="G3" s="76" t="s">
        <v>50</v>
      </c>
      <c r="H3" s="76" t="s">
        <v>51</v>
      </c>
      <c r="I3" s="359" t="s">
        <v>85</v>
      </c>
      <c r="J3" s="360"/>
      <c r="K3" s="360"/>
      <c r="L3" s="361"/>
      <c r="M3" s="362" t="s">
        <v>53</v>
      </c>
      <c r="N3" s="363"/>
      <c r="O3" s="77" t="s">
        <v>43</v>
      </c>
      <c r="P3" s="79" t="s">
        <v>132</v>
      </c>
      <c r="Q3" s="79" t="s">
        <v>133</v>
      </c>
      <c r="R3" s="79" t="s">
        <v>124</v>
      </c>
      <c r="S3" s="80" t="s">
        <v>125</v>
      </c>
      <c r="T3" s="81" t="s">
        <v>57</v>
      </c>
      <c r="U3" s="364" t="s">
        <v>42</v>
      </c>
      <c r="V3" s="364" t="s">
        <v>58</v>
      </c>
      <c r="W3" s="364" t="s">
        <v>59</v>
      </c>
      <c r="X3" s="82" t="s">
        <v>126</v>
      </c>
      <c r="Y3" s="366" t="s">
        <v>65</v>
      </c>
      <c r="Z3" s="367"/>
      <c r="AA3" s="367"/>
      <c r="AB3" s="368"/>
    </row>
    <row r="4" spans="1:28" s="31" customFormat="1" ht="51.75" customHeight="1" thickBot="1">
      <c r="A4" s="83">
        <v>2020</v>
      </c>
      <c r="B4" s="84" t="s">
        <v>86</v>
      </c>
      <c r="C4" s="84" t="s">
        <v>86</v>
      </c>
      <c r="D4" s="84" t="s">
        <v>67</v>
      </c>
      <c r="E4" s="286" t="s">
        <v>43</v>
      </c>
      <c r="F4" s="286" t="s">
        <v>43</v>
      </c>
      <c r="G4" s="286" t="s">
        <v>43</v>
      </c>
      <c r="H4" s="286" t="s">
        <v>43</v>
      </c>
      <c r="I4" s="85" t="s">
        <v>68</v>
      </c>
      <c r="J4" s="85" t="s">
        <v>69</v>
      </c>
      <c r="K4" s="85" t="s">
        <v>70</v>
      </c>
      <c r="L4" s="86" t="s">
        <v>71</v>
      </c>
      <c r="M4" s="87" t="s">
        <v>72</v>
      </c>
      <c r="N4" s="87" t="s">
        <v>73</v>
      </c>
      <c r="O4" s="87"/>
      <c r="P4" s="88" t="s">
        <v>86</v>
      </c>
      <c r="Q4" s="88" t="s">
        <v>86</v>
      </c>
      <c r="R4" s="88"/>
      <c r="S4" s="89" t="s">
        <v>86</v>
      </c>
      <c r="T4" s="89" t="s">
        <v>86</v>
      </c>
      <c r="U4" s="365"/>
      <c r="V4" s="365"/>
      <c r="W4" s="365"/>
      <c r="X4" s="90" t="s">
        <v>127</v>
      </c>
      <c r="Y4" s="91"/>
      <c r="Z4" s="92"/>
      <c r="AA4" s="92"/>
      <c r="AB4" s="93"/>
    </row>
    <row r="5" spans="1:28" ht="26.25">
      <c r="A5" s="94">
        <v>1</v>
      </c>
      <c r="B5" s="95"/>
      <c r="C5" s="96"/>
      <c r="D5" s="287"/>
      <c r="E5" s="288"/>
      <c r="F5" s="288"/>
      <c r="G5" s="289"/>
      <c r="H5" s="288"/>
      <c r="I5" s="99"/>
      <c r="J5" s="290"/>
      <c r="K5" s="112"/>
      <c r="L5" s="291"/>
      <c r="M5" s="97"/>
      <c r="N5" s="100"/>
      <c r="O5" s="101"/>
      <c r="P5" s="100"/>
      <c r="Q5" s="100"/>
      <c r="R5" s="101"/>
      <c r="S5" s="100"/>
      <c r="T5" s="100"/>
      <c r="U5" s="100">
        <f>14+15</f>
        <v>29</v>
      </c>
      <c r="V5" s="100">
        <v>1</v>
      </c>
      <c r="W5" s="100"/>
      <c r="X5" s="103"/>
      <c r="Y5" s="104"/>
      <c r="Z5" s="105"/>
      <c r="AA5" s="105"/>
      <c r="AB5" s="106"/>
    </row>
    <row r="6" spans="1:28" s="308" customFormat="1" ht="26.25">
      <c r="A6" s="292">
        <v>2</v>
      </c>
      <c r="B6" s="293"/>
      <c r="C6" s="294"/>
      <c r="D6" s="295"/>
      <c r="E6" s="296"/>
      <c r="F6" s="296"/>
      <c r="G6" s="297"/>
      <c r="H6" s="296"/>
      <c r="I6" s="298">
        <f>U6*8</f>
        <v>0</v>
      </c>
      <c r="J6" s="290"/>
      <c r="K6" s="299">
        <f>+J6+I6</f>
        <v>0</v>
      </c>
      <c r="L6" s="300"/>
      <c r="M6" s="301"/>
      <c r="N6" s="302"/>
      <c r="O6" s="303" t="e">
        <f>N6/M6</f>
        <v>#DIV/0!</v>
      </c>
      <c r="P6" s="302"/>
      <c r="Q6" s="302"/>
      <c r="R6" s="303" t="e">
        <f>(#REF!+Q6)/C6</f>
        <v>#REF!</v>
      </c>
      <c r="S6" s="302"/>
      <c r="T6" s="302"/>
      <c r="U6" s="302"/>
      <c r="V6" s="302"/>
      <c r="W6" s="302"/>
      <c r="X6" s="304"/>
      <c r="Y6" s="305"/>
      <c r="Z6" s="306"/>
      <c r="AA6" s="306"/>
      <c r="AB6" s="307"/>
    </row>
    <row r="7" spans="1:28" ht="26.25">
      <c r="A7" s="107">
        <v>3</v>
      </c>
      <c r="B7" s="108"/>
      <c r="C7" s="109"/>
      <c r="D7" s="309"/>
      <c r="E7" s="310"/>
      <c r="F7" s="310"/>
      <c r="G7" s="311"/>
      <c r="H7" s="310">
        <f t="shared" ref="H7:H35" si="0">(E7*F7*G7)/10000</f>
        <v>0</v>
      </c>
      <c r="I7" s="111"/>
      <c r="J7" s="290"/>
      <c r="K7" s="299"/>
      <c r="L7" s="300"/>
      <c r="M7" s="312"/>
      <c r="N7" s="124"/>
      <c r="O7" s="115" t="e">
        <f t="shared" ref="O7:O19" si="1">N7/M7</f>
        <v>#DIV/0!</v>
      </c>
      <c r="P7" s="124"/>
      <c r="Q7" s="124"/>
      <c r="R7" s="115" t="e">
        <f>(#REF!+Q7)/C7</f>
        <v>#REF!</v>
      </c>
      <c r="S7" s="124"/>
      <c r="T7" s="124"/>
      <c r="U7" s="124">
        <f>14+13</f>
        <v>27</v>
      </c>
      <c r="V7" s="124">
        <v>3</v>
      </c>
      <c r="W7" s="124"/>
      <c r="X7" s="126"/>
      <c r="Y7" s="117"/>
      <c r="Z7" s="118"/>
      <c r="AA7" s="118"/>
      <c r="AB7" s="119"/>
    </row>
    <row r="8" spans="1:28" ht="26.25">
      <c r="A8" s="107">
        <v>4</v>
      </c>
      <c r="B8" s="108"/>
      <c r="C8" s="112"/>
      <c r="D8" s="309"/>
      <c r="E8" s="310"/>
      <c r="F8" s="310"/>
      <c r="G8" s="311"/>
      <c r="H8" s="310">
        <f t="shared" si="0"/>
        <v>0</v>
      </c>
      <c r="I8" s="111"/>
      <c r="J8" s="290"/>
      <c r="K8" s="299"/>
      <c r="L8" s="300"/>
      <c r="M8" s="121"/>
      <c r="N8" s="114"/>
      <c r="O8" s="115" t="e">
        <f t="shared" si="1"/>
        <v>#DIV/0!</v>
      </c>
      <c r="P8" s="114"/>
      <c r="Q8" s="114"/>
      <c r="R8" s="115" t="e">
        <f>(#REF!+Q8)/C8</f>
        <v>#REF!</v>
      </c>
      <c r="S8" s="114"/>
      <c r="T8" s="114"/>
      <c r="U8" s="114">
        <f>13+14</f>
        <v>27</v>
      </c>
      <c r="V8" s="114">
        <v>3</v>
      </c>
      <c r="W8" s="114"/>
      <c r="X8" s="116"/>
      <c r="Y8" s="117"/>
      <c r="Z8" s="118"/>
      <c r="AA8" s="118"/>
      <c r="AB8" s="119"/>
    </row>
    <row r="9" spans="1:28" ht="26.25">
      <c r="A9" s="107">
        <v>5</v>
      </c>
      <c r="B9" s="108"/>
      <c r="C9" s="112"/>
      <c r="D9" s="309"/>
      <c r="E9" s="310"/>
      <c r="F9" s="310"/>
      <c r="G9" s="311"/>
      <c r="H9" s="310">
        <f t="shared" si="0"/>
        <v>0</v>
      </c>
      <c r="I9" s="111"/>
      <c r="J9" s="290"/>
      <c r="K9" s="299"/>
      <c r="L9" s="300"/>
      <c r="M9" s="121">
        <v>511</v>
      </c>
      <c r="N9" s="114">
        <v>135</v>
      </c>
      <c r="O9" s="115">
        <f t="shared" si="1"/>
        <v>0.26418786692759294</v>
      </c>
      <c r="P9" s="114"/>
      <c r="Q9" s="114"/>
      <c r="R9" s="115" t="e">
        <f>(#REF!+Q9)/C9</f>
        <v>#REF!</v>
      </c>
      <c r="S9" s="114">
        <v>54</v>
      </c>
      <c r="T9" s="114"/>
      <c r="U9" s="114">
        <f>14+14</f>
        <v>28</v>
      </c>
      <c r="V9" s="114">
        <v>2</v>
      </c>
      <c r="W9" s="114">
        <v>0</v>
      </c>
      <c r="X9" s="116">
        <v>28</v>
      </c>
      <c r="Y9" s="117"/>
      <c r="Z9" s="118"/>
      <c r="AA9" s="118"/>
      <c r="AB9" s="119"/>
    </row>
    <row r="10" spans="1:28" ht="26.25">
      <c r="A10" s="107">
        <v>6</v>
      </c>
      <c r="B10" s="313"/>
      <c r="C10" s="109"/>
      <c r="D10" s="309"/>
      <c r="E10" s="288"/>
      <c r="F10" s="310"/>
      <c r="G10" s="311"/>
      <c r="H10" s="310">
        <f t="shared" si="0"/>
        <v>0</v>
      </c>
      <c r="I10" s="111"/>
      <c r="J10" s="290"/>
      <c r="K10" s="299"/>
      <c r="L10" s="300"/>
      <c r="M10" s="121"/>
      <c r="N10" s="114"/>
      <c r="O10" s="115" t="e">
        <f t="shared" si="1"/>
        <v>#DIV/0!</v>
      </c>
      <c r="P10" s="114"/>
      <c r="Q10" s="114">
        <f>1+9+9</f>
        <v>19</v>
      </c>
      <c r="R10" s="115" t="e">
        <f>(#REF!+Q10)/C10</f>
        <v>#REF!</v>
      </c>
      <c r="S10" s="114"/>
      <c r="T10" s="114"/>
      <c r="U10" s="114">
        <f>13+14</f>
        <v>27</v>
      </c>
      <c r="V10" s="114">
        <v>3</v>
      </c>
      <c r="W10" s="114"/>
      <c r="X10" s="116"/>
      <c r="Y10" s="117"/>
      <c r="Z10" s="118"/>
      <c r="AA10" s="118"/>
      <c r="AB10" s="119"/>
    </row>
    <row r="11" spans="1:28" ht="26.25">
      <c r="A11" s="107">
        <v>7</v>
      </c>
      <c r="B11" s="108"/>
      <c r="C11" s="109"/>
      <c r="D11" s="309"/>
      <c r="E11" s="310"/>
      <c r="F11" s="310"/>
      <c r="G11" s="311"/>
      <c r="H11" s="310">
        <f t="shared" si="0"/>
        <v>0</v>
      </c>
      <c r="I11" s="111"/>
      <c r="J11" s="290"/>
      <c r="K11" s="299"/>
      <c r="L11" s="300"/>
      <c r="M11" s="121"/>
      <c r="N11" s="114"/>
      <c r="O11" s="115" t="e">
        <f t="shared" si="1"/>
        <v>#DIV/0!</v>
      </c>
      <c r="P11" s="114"/>
      <c r="Q11" s="114">
        <f>29+25</f>
        <v>54</v>
      </c>
      <c r="R11" s="115" t="e">
        <f>(#REF!+Q11)/C11</f>
        <v>#REF!</v>
      </c>
      <c r="S11" s="114"/>
      <c r="T11" s="114"/>
      <c r="U11" s="114">
        <f>13+16</f>
        <v>29</v>
      </c>
      <c r="V11" s="114">
        <v>1</v>
      </c>
      <c r="W11" s="114"/>
      <c r="X11" s="116"/>
      <c r="Y11" s="117"/>
      <c r="Z11" s="118"/>
      <c r="AA11" s="118"/>
      <c r="AB11" s="119"/>
    </row>
    <row r="12" spans="1:28" s="323" customFormat="1" ht="26.25">
      <c r="A12" s="141">
        <v>8</v>
      </c>
      <c r="B12" s="314"/>
      <c r="C12" s="315"/>
      <c r="D12" s="316"/>
      <c r="E12" s="310"/>
      <c r="F12" s="310"/>
      <c r="G12" s="311"/>
      <c r="H12" s="310">
        <f t="shared" si="0"/>
        <v>0</v>
      </c>
      <c r="I12" s="111"/>
      <c r="J12" s="290"/>
      <c r="K12" s="317"/>
      <c r="L12" s="300"/>
      <c r="M12" s="318"/>
      <c r="N12" s="143"/>
      <c r="O12" s="147" t="e">
        <f t="shared" si="1"/>
        <v>#DIV/0!</v>
      </c>
      <c r="P12" s="143"/>
      <c r="Q12" s="143"/>
      <c r="R12" s="147" t="e">
        <f>(#REF!+Q12)/C12</f>
        <v>#REF!</v>
      </c>
      <c r="S12" s="143"/>
      <c r="T12" s="143"/>
      <c r="U12" s="114">
        <f>13+16</f>
        <v>29</v>
      </c>
      <c r="V12" s="114">
        <v>1</v>
      </c>
      <c r="W12" s="315"/>
      <c r="X12" s="319"/>
      <c r="Y12" s="320"/>
      <c r="Z12" s="321"/>
      <c r="AA12" s="321"/>
      <c r="AB12" s="322"/>
    </row>
    <row r="13" spans="1:28" s="308" customFormat="1" ht="26.25">
      <c r="A13" s="292">
        <v>9</v>
      </c>
      <c r="B13" s="293"/>
      <c r="C13" s="294"/>
      <c r="D13" s="295"/>
      <c r="E13" s="296"/>
      <c r="F13" s="296"/>
      <c r="G13" s="297"/>
      <c r="H13" s="296"/>
      <c r="I13" s="298">
        <f>U13*8</f>
        <v>0</v>
      </c>
      <c r="J13" s="290"/>
      <c r="K13" s="324">
        <f t="shared" ref="K13" si="2">+J13+I13</f>
        <v>0</v>
      </c>
      <c r="L13" s="300"/>
      <c r="M13" s="301"/>
      <c r="N13" s="302"/>
      <c r="O13" s="303" t="e">
        <f t="shared" si="1"/>
        <v>#DIV/0!</v>
      </c>
      <c r="P13" s="302"/>
      <c r="Q13" s="302"/>
      <c r="R13" s="303" t="e">
        <f>(#REF!+Q13)/C13</f>
        <v>#REF!</v>
      </c>
      <c r="S13" s="302"/>
      <c r="T13" s="302"/>
      <c r="U13" s="302"/>
      <c r="V13" s="302"/>
      <c r="W13" s="302"/>
      <c r="X13" s="304"/>
      <c r="Y13" s="305"/>
      <c r="Z13" s="306"/>
      <c r="AA13" s="306"/>
      <c r="AB13" s="307"/>
    </row>
    <row r="14" spans="1:28" ht="26.25">
      <c r="A14" s="107">
        <v>10</v>
      </c>
      <c r="B14" s="108"/>
      <c r="C14" s="109"/>
      <c r="D14" s="309"/>
      <c r="E14" s="310"/>
      <c r="F14" s="310"/>
      <c r="G14" s="311"/>
      <c r="H14" s="310">
        <f t="shared" si="0"/>
        <v>0</v>
      </c>
      <c r="I14" s="111"/>
      <c r="J14" s="290"/>
      <c r="K14" s="299"/>
      <c r="L14" s="300"/>
      <c r="M14" s="325"/>
      <c r="N14" s="114"/>
      <c r="O14" s="115" t="e">
        <f t="shared" si="1"/>
        <v>#DIV/0!</v>
      </c>
      <c r="P14" s="114"/>
      <c r="Q14" s="114"/>
      <c r="R14" s="115" t="e">
        <f>(#REF!+Q14)/C14</f>
        <v>#REF!</v>
      </c>
      <c r="S14" s="114">
        <v>8</v>
      </c>
      <c r="T14" s="114"/>
      <c r="U14" s="114">
        <f>13+16</f>
        <v>29</v>
      </c>
      <c r="V14" s="114">
        <v>1</v>
      </c>
      <c r="W14" s="114"/>
      <c r="X14" s="116"/>
      <c r="Y14" s="117"/>
      <c r="Z14" s="118"/>
      <c r="AA14" s="118"/>
      <c r="AB14" s="119"/>
    </row>
    <row r="15" spans="1:28" ht="26.25">
      <c r="A15" s="107">
        <v>11</v>
      </c>
      <c r="B15" s="108"/>
      <c r="C15" s="109"/>
      <c r="D15" s="309"/>
      <c r="E15" s="310"/>
      <c r="F15" s="310"/>
      <c r="G15" s="311"/>
      <c r="H15" s="310">
        <f t="shared" si="0"/>
        <v>0</v>
      </c>
      <c r="I15" s="111"/>
      <c r="J15" s="290"/>
      <c r="K15" s="299"/>
      <c r="L15" s="300"/>
      <c r="M15" s="326"/>
      <c r="N15" s="113"/>
      <c r="O15" s="115" t="e">
        <f t="shared" si="1"/>
        <v>#DIV/0!</v>
      </c>
      <c r="P15" s="113"/>
      <c r="Q15" s="113">
        <f>2+8+40+17</f>
        <v>67</v>
      </c>
      <c r="R15" s="115" t="e">
        <f>(#REF!+Q15)/C15</f>
        <v>#REF!</v>
      </c>
      <c r="S15" s="113">
        <v>63</v>
      </c>
      <c r="T15" s="113"/>
      <c r="U15" s="114">
        <f>12+15</f>
        <v>27</v>
      </c>
      <c r="V15" s="114">
        <v>3</v>
      </c>
      <c r="W15" s="113"/>
      <c r="X15" s="155"/>
      <c r="Y15" s="117"/>
      <c r="Z15" s="118"/>
      <c r="AA15" s="118"/>
      <c r="AB15" s="119"/>
    </row>
    <row r="16" spans="1:28" ht="26.25">
      <c r="A16" s="107">
        <v>12</v>
      </c>
      <c r="B16" s="108"/>
      <c r="C16" s="109"/>
      <c r="D16" s="309"/>
      <c r="E16" s="310"/>
      <c r="F16" s="310"/>
      <c r="G16" s="311"/>
      <c r="H16" s="310">
        <f t="shared" si="0"/>
        <v>0</v>
      </c>
      <c r="I16" s="111"/>
      <c r="J16" s="290"/>
      <c r="K16" s="299"/>
      <c r="L16" s="300"/>
      <c r="M16" s="326"/>
      <c r="N16" s="113"/>
      <c r="O16" s="115" t="e">
        <f t="shared" si="1"/>
        <v>#DIV/0!</v>
      </c>
      <c r="P16" s="113"/>
      <c r="Q16" s="113">
        <f>7+19</f>
        <v>26</v>
      </c>
      <c r="R16" s="115" t="e">
        <f>(#REF!+Q16)/C16</f>
        <v>#REF!</v>
      </c>
      <c r="S16" s="113">
        <v>58</v>
      </c>
      <c r="T16" s="113"/>
      <c r="U16" s="114">
        <f>12+14</f>
        <v>26</v>
      </c>
      <c r="V16" s="114">
        <v>4</v>
      </c>
      <c r="W16" s="113"/>
      <c r="X16" s="155"/>
      <c r="Y16" s="117"/>
      <c r="Z16" s="118"/>
      <c r="AA16" s="118"/>
      <c r="AB16" s="119"/>
    </row>
    <row r="17" spans="1:28" ht="26.25">
      <c r="A17" s="107">
        <v>13</v>
      </c>
      <c r="B17" s="108"/>
      <c r="C17" s="109"/>
      <c r="D17" s="309"/>
      <c r="E17" s="310"/>
      <c r="F17" s="310"/>
      <c r="G17" s="311"/>
      <c r="H17" s="310">
        <f t="shared" si="0"/>
        <v>0</v>
      </c>
      <c r="I17" s="111"/>
      <c r="J17" s="290"/>
      <c r="K17" s="299"/>
      <c r="L17" s="300"/>
      <c r="M17" s="326"/>
      <c r="N17" s="113"/>
      <c r="O17" s="115" t="e">
        <f t="shared" si="1"/>
        <v>#DIV/0!</v>
      </c>
      <c r="P17" s="113"/>
      <c r="Q17" s="113"/>
      <c r="R17" s="115" t="e">
        <f>(#REF!+Q17)/C17</f>
        <v>#REF!</v>
      </c>
      <c r="S17" s="113"/>
      <c r="T17" s="113"/>
      <c r="U17" s="113">
        <f>15+13</f>
        <v>28</v>
      </c>
      <c r="V17" s="113">
        <v>1</v>
      </c>
      <c r="W17" s="113"/>
      <c r="X17" s="155"/>
      <c r="Y17" s="117"/>
      <c r="Z17" s="118"/>
      <c r="AA17" s="118"/>
      <c r="AB17" s="119"/>
    </row>
    <row r="18" spans="1:28" ht="26.25">
      <c r="A18" s="107">
        <v>14</v>
      </c>
      <c r="B18" s="108"/>
      <c r="C18" s="109"/>
      <c r="D18" s="309"/>
      <c r="E18" s="310"/>
      <c r="F18" s="310"/>
      <c r="G18" s="311"/>
      <c r="H18" s="310">
        <f t="shared" si="0"/>
        <v>0</v>
      </c>
      <c r="I18" s="111"/>
      <c r="J18" s="290"/>
      <c r="K18" s="299"/>
      <c r="L18" s="300"/>
      <c r="M18" s="326"/>
      <c r="N18" s="113"/>
      <c r="O18" s="115" t="e">
        <f t="shared" si="1"/>
        <v>#DIV/0!</v>
      </c>
      <c r="P18" s="113"/>
      <c r="Q18" s="113"/>
      <c r="R18" s="115" t="e">
        <f>(#REF!+Q18)/C18</f>
        <v>#REF!</v>
      </c>
      <c r="S18" s="113"/>
      <c r="T18" s="113"/>
      <c r="U18" s="113">
        <f>16+13</f>
        <v>29</v>
      </c>
      <c r="V18" s="113">
        <v>1</v>
      </c>
      <c r="W18" s="113"/>
      <c r="X18" s="155"/>
      <c r="Y18" s="117"/>
      <c r="Z18" s="118"/>
      <c r="AA18" s="118"/>
      <c r="AB18" s="119"/>
    </row>
    <row r="19" spans="1:28" s="154" customFormat="1" ht="26.25">
      <c r="A19" s="141">
        <v>15</v>
      </c>
      <c r="B19" s="142"/>
      <c r="C19" s="143"/>
      <c r="D19" s="327"/>
      <c r="E19" s="310"/>
      <c r="F19" s="310"/>
      <c r="G19" s="311"/>
      <c r="H19" s="310">
        <f t="shared" si="0"/>
        <v>0</v>
      </c>
      <c r="I19" s="111"/>
      <c r="J19" s="290"/>
      <c r="K19" s="317"/>
      <c r="L19" s="300"/>
      <c r="M19" s="328"/>
      <c r="N19" s="145"/>
      <c r="O19" s="147" t="e">
        <f t="shared" si="1"/>
        <v>#DIV/0!</v>
      </c>
      <c r="P19" s="145"/>
      <c r="Q19" s="145"/>
      <c r="R19" s="115" t="e">
        <f>(#REF!+Q19)/C19</f>
        <v>#REF!</v>
      </c>
      <c r="S19" s="145"/>
      <c r="T19" s="145"/>
      <c r="U19" s="145">
        <f>16+11</f>
        <v>27</v>
      </c>
      <c r="V19" s="145">
        <v>3</v>
      </c>
      <c r="W19" s="145"/>
      <c r="X19" s="158"/>
      <c r="Y19" s="151"/>
      <c r="Z19" s="152"/>
      <c r="AA19" s="152"/>
      <c r="AB19" s="153"/>
    </row>
    <row r="20" spans="1:28" s="308" customFormat="1" ht="26.25">
      <c r="A20" s="292">
        <v>16</v>
      </c>
      <c r="B20" s="293"/>
      <c r="C20" s="294"/>
      <c r="D20" s="295"/>
      <c r="E20" s="296"/>
      <c r="F20" s="296"/>
      <c r="G20" s="297"/>
      <c r="H20" s="296"/>
      <c r="I20" s="298">
        <f>U20*8</f>
        <v>0</v>
      </c>
      <c r="J20" s="290"/>
      <c r="K20" s="324">
        <f>+J20+I20</f>
        <v>0</v>
      </c>
      <c r="L20" s="300"/>
      <c r="M20" s="329"/>
      <c r="N20" s="330"/>
      <c r="O20" s="303" t="e">
        <f>N20/M20</f>
        <v>#DIV/0!</v>
      </c>
      <c r="P20" s="330"/>
      <c r="Q20" s="330"/>
      <c r="R20" s="303" t="e">
        <f>(#REF!+Q20)/C20</f>
        <v>#REF!</v>
      </c>
      <c r="S20" s="330"/>
      <c r="T20" s="330"/>
      <c r="U20" s="330"/>
      <c r="V20" s="330"/>
      <c r="W20" s="330"/>
      <c r="X20" s="331"/>
      <c r="Y20" s="305"/>
      <c r="Z20" s="306"/>
      <c r="AA20" s="306"/>
      <c r="AB20" s="307"/>
    </row>
    <row r="21" spans="1:28" ht="26.25">
      <c r="A21" s="107">
        <v>17</v>
      </c>
      <c r="B21" s="108"/>
      <c r="C21" s="112"/>
      <c r="D21" s="309"/>
      <c r="E21" s="310"/>
      <c r="F21" s="310"/>
      <c r="G21" s="311"/>
      <c r="H21" s="310">
        <f t="shared" si="0"/>
        <v>0</v>
      </c>
      <c r="I21" s="111"/>
      <c r="J21" s="290"/>
      <c r="K21" s="299"/>
      <c r="L21" s="300"/>
      <c r="M21" s="326"/>
      <c r="N21" s="113"/>
      <c r="O21" s="115" t="e">
        <f t="shared" ref="O21" si="3">N21/M21</f>
        <v>#DIV/0!</v>
      </c>
      <c r="P21" s="113"/>
      <c r="Q21" s="113"/>
      <c r="R21" s="115" t="e">
        <f>(#REF!+Q21)/C21</f>
        <v>#REF!</v>
      </c>
      <c r="S21" s="113"/>
      <c r="T21" s="113"/>
      <c r="U21" s="113">
        <f>14+13</f>
        <v>27</v>
      </c>
      <c r="V21" s="113">
        <f>2+1</f>
        <v>3</v>
      </c>
      <c r="W21" s="113"/>
      <c r="X21" s="155"/>
      <c r="Y21" s="117"/>
      <c r="Z21" s="118"/>
      <c r="AA21" s="118"/>
      <c r="AB21" s="119"/>
    </row>
    <row r="22" spans="1:28" ht="26.25">
      <c r="A22" s="107">
        <v>18</v>
      </c>
      <c r="B22" s="108"/>
      <c r="C22" s="112"/>
      <c r="D22" s="309"/>
      <c r="E22" s="310"/>
      <c r="F22" s="310"/>
      <c r="G22" s="311"/>
      <c r="H22" s="310">
        <f t="shared" si="0"/>
        <v>0</v>
      </c>
      <c r="I22" s="111"/>
      <c r="J22" s="290"/>
      <c r="K22" s="299"/>
      <c r="L22" s="300"/>
      <c r="M22" s="326"/>
      <c r="N22" s="113"/>
      <c r="O22" s="115" t="e">
        <f>N22/M22</f>
        <v>#DIV/0!</v>
      </c>
      <c r="P22" s="113"/>
      <c r="Q22" s="113"/>
      <c r="R22" s="115" t="e">
        <f>(#REF!+Q22)/C22</f>
        <v>#REF!</v>
      </c>
      <c r="S22" s="113"/>
      <c r="T22" s="113"/>
      <c r="U22" s="113">
        <f>13+12</f>
        <v>25</v>
      </c>
      <c r="V22" s="113">
        <f>3+3</f>
        <v>6</v>
      </c>
      <c r="W22" s="113"/>
      <c r="X22" s="155"/>
      <c r="Y22" s="117"/>
      <c r="Z22" s="118"/>
      <c r="AA22" s="118"/>
      <c r="AB22" s="119"/>
    </row>
    <row r="23" spans="1:28" ht="26.25">
      <c r="A23" s="107">
        <v>19</v>
      </c>
      <c r="B23" s="108"/>
      <c r="C23" s="112"/>
      <c r="D23" s="309"/>
      <c r="E23" s="310"/>
      <c r="F23" s="310"/>
      <c r="G23" s="311"/>
      <c r="H23" s="310">
        <f t="shared" si="0"/>
        <v>0</v>
      </c>
      <c r="I23" s="111"/>
      <c r="J23" s="290"/>
      <c r="K23" s="299"/>
      <c r="L23" s="300"/>
      <c r="M23" s="326"/>
      <c r="N23" s="113"/>
      <c r="O23" s="115" t="e">
        <f>N23/M23</f>
        <v>#DIV/0!</v>
      </c>
      <c r="P23" s="113"/>
      <c r="Q23" s="113"/>
      <c r="R23" s="115" t="e">
        <f>(#REF!+Q23)/C23</f>
        <v>#REF!</v>
      </c>
      <c r="S23" s="113"/>
      <c r="T23" s="113"/>
      <c r="U23" s="113">
        <f>14+15</f>
        <v>29</v>
      </c>
      <c r="V23" s="113">
        <v>2</v>
      </c>
      <c r="W23" s="113"/>
      <c r="X23" s="155"/>
      <c r="Y23" s="117"/>
      <c r="Z23" s="118"/>
      <c r="AA23" s="118"/>
      <c r="AB23" s="119"/>
    </row>
    <row r="24" spans="1:28" ht="26.25">
      <c r="A24" s="107">
        <v>20</v>
      </c>
      <c r="B24" s="108"/>
      <c r="C24" s="112"/>
      <c r="D24" s="309"/>
      <c r="E24" s="310"/>
      <c r="F24" s="310"/>
      <c r="G24" s="311"/>
      <c r="H24" s="310">
        <f t="shared" si="0"/>
        <v>0</v>
      </c>
      <c r="I24" s="111">
        <f t="shared" ref="I24:I35" si="4">U24*8</f>
        <v>0</v>
      </c>
      <c r="J24" s="290"/>
      <c r="K24" s="299">
        <f t="shared" ref="K24:K35" si="5">+J24+I24</f>
        <v>0</v>
      </c>
      <c r="L24" s="300"/>
      <c r="M24" s="326"/>
      <c r="N24" s="113"/>
      <c r="O24" s="115" t="e">
        <f>N24/M24</f>
        <v>#DIV/0!</v>
      </c>
      <c r="P24" s="113"/>
      <c r="Q24" s="113"/>
      <c r="R24" s="115" t="e">
        <f>(#REF!+Q24)/C24</f>
        <v>#REF!</v>
      </c>
      <c r="S24" s="113"/>
      <c r="T24" s="113"/>
      <c r="U24" s="113"/>
      <c r="V24" s="113"/>
      <c r="W24" s="113"/>
      <c r="X24" s="155"/>
      <c r="Y24" s="117"/>
      <c r="Z24" s="118"/>
      <c r="AA24" s="118"/>
      <c r="AB24" s="119"/>
    </row>
    <row r="25" spans="1:28" ht="26.25">
      <c r="A25" s="107">
        <v>21</v>
      </c>
      <c r="B25" s="108"/>
      <c r="C25" s="112"/>
      <c r="D25" s="309"/>
      <c r="E25" s="310"/>
      <c r="F25" s="310"/>
      <c r="G25" s="311"/>
      <c r="H25" s="310">
        <f t="shared" si="0"/>
        <v>0</v>
      </c>
      <c r="I25" s="111">
        <f t="shared" si="4"/>
        <v>0</v>
      </c>
      <c r="J25" s="290"/>
      <c r="K25" s="299">
        <f t="shared" si="5"/>
        <v>0</v>
      </c>
      <c r="L25" s="300"/>
      <c r="M25" s="326"/>
      <c r="N25" s="113"/>
      <c r="O25" s="113"/>
      <c r="P25" s="113"/>
      <c r="Q25" s="113"/>
      <c r="R25" s="115"/>
      <c r="S25" s="113"/>
      <c r="T25" s="113"/>
      <c r="U25" s="113"/>
      <c r="V25" s="113"/>
      <c r="W25" s="113"/>
      <c r="X25" s="155"/>
      <c r="Y25" s="117"/>
      <c r="Z25" s="118"/>
      <c r="AA25" s="118"/>
      <c r="AB25" s="119"/>
    </row>
    <row r="26" spans="1:28" ht="26.25">
      <c r="A26" s="107">
        <v>22</v>
      </c>
      <c r="B26" s="108"/>
      <c r="C26" s="112"/>
      <c r="D26" s="309"/>
      <c r="E26" s="310"/>
      <c r="F26" s="310"/>
      <c r="G26" s="311"/>
      <c r="H26" s="310">
        <f t="shared" si="0"/>
        <v>0</v>
      </c>
      <c r="I26" s="111">
        <f t="shared" si="4"/>
        <v>0</v>
      </c>
      <c r="J26" s="290"/>
      <c r="K26" s="299">
        <f t="shared" si="5"/>
        <v>0</v>
      </c>
      <c r="L26" s="300"/>
      <c r="M26" s="326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55"/>
      <c r="Y26" s="117"/>
      <c r="Z26" s="118"/>
      <c r="AA26" s="118"/>
      <c r="AB26" s="119"/>
    </row>
    <row r="27" spans="1:28" s="308" customFormat="1" ht="26.25">
      <c r="A27" s="292">
        <v>23</v>
      </c>
      <c r="B27" s="293"/>
      <c r="C27" s="294"/>
      <c r="D27" s="295"/>
      <c r="E27" s="296"/>
      <c r="F27" s="296"/>
      <c r="G27" s="297"/>
      <c r="H27" s="296"/>
      <c r="I27" s="298">
        <f t="shared" si="4"/>
        <v>0</v>
      </c>
      <c r="J27" s="290"/>
      <c r="K27" s="324">
        <f t="shared" si="5"/>
        <v>0</v>
      </c>
      <c r="L27" s="300"/>
      <c r="M27" s="329"/>
      <c r="N27" s="330"/>
      <c r="O27" s="303" t="e">
        <f>N27/M27</f>
        <v>#DIV/0!</v>
      </c>
      <c r="P27" s="330"/>
      <c r="Q27" s="330"/>
      <c r="R27" s="303" t="e">
        <f>(#REF!+Q27)/C27</f>
        <v>#REF!</v>
      </c>
      <c r="S27" s="330"/>
      <c r="T27" s="330"/>
      <c r="U27" s="330"/>
      <c r="V27" s="330"/>
      <c r="W27" s="330"/>
      <c r="X27" s="331"/>
      <c r="Y27" s="305"/>
      <c r="Z27" s="306"/>
      <c r="AA27" s="306"/>
      <c r="AB27" s="307"/>
    </row>
    <row r="28" spans="1:28" ht="26.25">
      <c r="A28" s="107">
        <v>24</v>
      </c>
      <c r="B28" s="108">
        <v>6000</v>
      </c>
      <c r="C28" s="112">
        <f>1328+1017+3146</f>
        <v>5491</v>
      </c>
      <c r="D28" s="309">
        <v>5.5</v>
      </c>
      <c r="E28" s="332">
        <v>76.923076923076934</v>
      </c>
      <c r="F28" s="332">
        <v>32.552083333333329</v>
      </c>
      <c r="G28" s="333">
        <v>93.396602348993284</v>
      </c>
      <c r="H28" s="332">
        <f t="shared" si="0"/>
        <v>23.386569097804809</v>
      </c>
      <c r="I28" s="111">
        <f t="shared" si="4"/>
        <v>208</v>
      </c>
      <c r="J28" s="290">
        <f>23*3</f>
        <v>69</v>
      </c>
      <c r="K28" s="299">
        <f t="shared" si="5"/>
        <v>277</v>
      </c>
      <c r="L28" s="113">
        <f t="shared" ref="L28:L29" si="6">K28/D28</f>
        <v>50.363636363636367</v>
      </c>
      <c r="M28" s="326">
        <v>624</v>
      </c>
      <c r="N28" s="113">
        <v>144</v>
      </c>
      <c r="O28" s="115">
        <f>N28/M28</f>
        <v>0.23076923076923078</v>
      </c>
      <c r="P28" s="113">
        <f>1120+3360-(1017+3146)</f>
        <v>317</v>
      </c>
      <c r="Q28" s="113">
        <f>4489+1034+1034-(1480+1120+3360)</f>
        <v>597</v>
      </c>
      <c r="R28" s="115">
        <f>+(Q28+P28)/C28</f>
        <v>0.16645419777818249</v>
      </c>
      <c r="S28" s="113">
        <v>64</v>
      </c>
      <c r="T28" s="113"/>
      <c r="U28" s="113">
        <v>26</v>
      </c>
      <c r="V28" s="113">
        <v>3</v>
      </c>
      <c r="W28" s="113">
        <v>0</v>
      </c>
      <c r="X28" s="155"/>
      <c r="Y28" s="117"/>
      <c r="Z28" s="118"/>
      <c r="AA28" s="118"/>
      <c r="AB28" s="119"/>
    </row>
    <row r="29" spans="1:28" ht="26.25">
      <c r="A29" s="107">
        <v>25</v>
      </c>
      <c r="B29" s="108">
        <v>8000</v>
      </c>
      <c r="C29" s="112">
        <v>7320</v>
      </c>
      <c r="D29" s="309">
        <v>7.3</v>
      </c>
      <c r="E29" s="332">
        <v>87.614678899082563</v>
      </c>
      <c r="F29" s="332">
        <v>35.418848167539267</v>
      </c>
      <c r="G29" s="333">
        <v>90.990867606342803</v>
      </c>
      <c r="H29" s="332">
        <v>28.236386209032521</v>
      </c>
      <c r="I29" s="111">
        <f t="shared" si="4"/>
        <v>200</v>
      </c>
      <c r="J29" s="290">
        <f>25*3</f>
        <v>75</v>
      </c>
      <c r="K29" s="299">
        <f t="shared" si="5"/>
        <v>275</v>
      </c>
      <c r="L29" s="113">
        <f t="shared" si="6"/>
        <v>37.671232876712331</v>
      </c>
      <c r="M29" s="326">
        <v>654</v>
      </c>
      <c r="N29" s="113">
        <v>81</v>
      </c>
      <c r="O29" s="115">
        <f>N29/M29</f>
        <v>0.12385321100917432</v>
      </c>
      <c r="P29" s="113">
        <f>1280-(1109)</f>
        <v>171</v>
      </c>
      <c r="Q29" s="113">
        <f>6225+2420-(6320+1280)</f>
        <v>1045</v>
      </c>
      <c r="R29" s="115">
        <f>+(Q29+P29)/C29</f>
        <v>0.16612021857923498</v>
      </c>
      <c r="S29" s="113">
        <v>64</v>
      </c>
      <c r="T29" s="113"/>
      <c r="U29" s="113">
        <v>25</v>
      </c>
      <c r="V29" s="113">
        <v>1</v>
      </c>
      <c r="W29" s="113"/>
      <c r="X29" s="155"/>
      <c r="Y29" s="117"/>
      <c r="Z29" s="118"/>
      <c r="AA29" s="118"/>
      <c r="AB29" s="119"/>
    </row>
    <row r="30" spans="1:28" ht="26.25">
      <c r="A30" s="107">
        <v>26</v>
      </c>
      <c r="B30" s="108"/>
      <c r="C30" s="112"/>
      <c r="D30" s="309"/>
      <c r="E30" s="310"/>
      <c r="F30" s="310"/>
      <c r="G30" s="311"/>
      <c r="H30" s="310">
        <f t="shared" si="0"/>
        <v>0</v>
      </c>
      <c r="I30" s="111">
        <f t="shared" si="4"/>
        <v>0</v>
      </c>
      <c r="J30" s="290"/>
      <c r="K30" s="299">
        <f t="shared" si="5"/>
        <v>0</v>
      </c>
      <c r="L30" s="113"/>
      <c r="M30" s="326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55"/>
      <c r="Y30" s="117"/>
      <c r="Z30" s="118"/>
      <c r="AA30" s="118"/>
      <c r="AB30" s="119"/>
    </row>
    <row r="31" spans="1:28" ht="26.25">
      <c r="A31" s="107">
        <v>27</v>
      </c>
      <c r="B31" s="108"/>
      <c r="C31" s="112"/>
      <c r="D31" s="309"/>
      <c r="E31" s="310"/>
      <c r="F31" s="310"/>
      <c r="G31" s="311"/>
      <c r="H31" s="310">
        <f t="shared" si="0"/>
        <v>0</v>
      </c>
      <c r="I31" s="111">
        <f t="shared" si="4"/>
        <v>0</v>
      </c>
      <c r="J31" s="290"/>
      <c r="K31" s="299">
        <f t="shared" si="5"/>
        <v>0</v>
      </c>
      <c r="L31" s="113"/>
      <c r="M31" s="326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55"/>
      <c r="Y31" s="117"/>
      <c r="Z31" s="118"/>
      <c r="AA31" s="118"/>
      <c r="AB31" s="119"/>
    </row>
    <row r="32" spans="1:28" ht="26.25">
      <c r="A32" s="107">
        <v>28</v>
      </c>
      <c r="B32" s="108"/>
      <c r="C32" s="112"/>
      <c r="D32" s="309"/>
      <c r="E32" s="310"/>
      <c r="F32" s="310"/>
      <c r="G32" s="311"/>
      <c r="H32" s="310">
        <f t="shared" si="0"/>
        <v>0</v>
      </c>
      <c r="I32" s="111">
        <f t="shared" si="4"/>
        <v>0</v>
      </c>
      <c r="J32" s="290"/>
      <c r="K32" s="299">
        <f t="shared" si="5"/>
        <v>0</v>
      </c>
      <c r="L32" s="113"/>
      <c r="M32" s="326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55"/>
      <c r="Y32" s="117"/>
      <c r="Z32" s="118"/>
      <c r="AA32" s="118"/>
      <c r="AB32" s="119"/>
    </row>
    <row r="33" spans="1:51" ht="26.25">
      <c r="A33" s="107">
        <v>29</v>
      </c>
      <c r="B33" s="108"/>
      <c r="C33" s="112"/>
      <c r="D33" s="309"/>
      <c r="E33" s="310"/>
      <c r="F33" s="310"/>
      <c r="G33" s="311"/>
      <c r="H33" s="310">
        <f t="shared" si="0"/>
        <v>0</v>
      </c>
      <c r="I33" s="111">
        <f t="shared" si="4"/>
        <v>0</v>
      </c>
      <c r="J33" s="290"/>
      <c r="K33" s="299">
        <f t="shared" si="5"/>
        <v>0</v>
      </c>
      <c r="L33" s="113"/>
      <c r="M33" s="326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55"/>
      <c r="Y33" s="117"/>
      <c r="Z33" s="118"/>
      <c r="AA33" s="118"/>
      <c r="AB33" s="119"/>
    </row>
    <row r="34" spans="1:51" ht="26.25">
      <c r="A34" s="107">
        <v>30</v>
      </c>
      <c r="B34" s="108"/>
      <c r="C34" s="112"/>
      <c r="D34" s="309"/>
      <c r="E34" s="310"/>
      <c r="F34" s="310"/>
      <c r="G34" s="311"/>
      <c r="H34" s="310">
        <f t="shared" si="0"/>
        <v>0</v>
      </c>
      <c r="I34" s="111">
        <f t="shared" si="4"/>
        <v>0</v>
      </c>
      <c r="J34" s="290"/>
      <c r="K34" s="299">
        <f t="shared" si="5"/>
        <v>0</v>
      </c>
      <c r="L34" s="113"/>
      <c r="M34" s="326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55"/>
      <c r="Y34" s="117"/>
      <c r="Z34" s="118"/>
      <c r="AA34" s="118"/>
      <c r="AB34" s="119"/>
    </row>
    <row r="35" spans="1:51" ht="26.25">
      <c r="A35" s="107">
        <v>31</v>
      </c>
      <c r="B35" s="108"/>
      <c r="C35" s="112"/>
      <c r="D35" s="309"/>
      <c r="E35" s="310"/>
      <c r="F35" s="310"/>
      <c r="G35" s="311"/>
      <c r="H35" s="310">
        <f t="shared" si="0"/>
        <v>0</v>
      </c>
      <c r="I35" s="111">
        <f t="shared" si="4"/>
        <v>0</v>
      </c>
      <c r="J35" s="290"/>
      <c r="K35" s="299">
        <f t="shared" si="5"/>
        <v>0</v>
      </c>
      <c r="L35" s="113"/>
      <c r="M35" s="326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55"/>
      <c r="Y35" s="117"/>
      <c r="Z35" s="118"/>
      <c r="AA35" s="118"/>
      <c r="AB35" s="119"/>
    </row>
    <row r="36" spans="1:51" ht="27" thickBot="1">
      <c r="A36" s="159" t="s">
        <v>84</v>
      </c>
      <c r="B36" s="160">
        <f>SUM(B5:B35)</f>
        <v>14000</v>
      </c>
      <c r="C36" s="161">
        <f t="shared" ref="C36:X36" si="7">SUM(C5:C35)</f>
        <v>12811</v>
      </c>
      <c r="D36" s="162">
        <f t="shared" si="7"/>
        <v>12.8</v>
      </c>
      <c r="E36" s="269">
        <f t="shared" si="7"/>
        <v>164.53775582215951</v>
      </c>
      <c r="F36" s="269">
        <f t="shared" si="7"/>
        <v>67.970931500872595</v>
      </c>
      <c r="G36" s="269">
        <f t="shared" si="7"/>
        <v>184.38746995533609</v>
      </c>
      <c r="H36" s="269">
        <f t="shared" si="7"/>
        <v>51.622955306837326</v>
      </c>
      <c r="I36" s="164">
        <f t="shared" si="7"/>
        <v>408</v>
      </c>
      <c r="J36" s="164">
        <f t="shared" si="7"/>
        <v>144</v>
      </c>
      <c r="K36" s="165">
        <f>+J36+I36</f>
        <v>552</v>
      </c>
      <c r="L36" s="276">
        <f t="shared" si="7"/>
        <v>88.034869240348698</v>
      </c>
      <c r="M36" s="166">
        <f t="shared" si="7"/>
        <v>1789</v>
      </c>
      <c r="N36" s="166">
        <f t="shared" si="7"/>
        <v>360</v>
      </c>
      <c r="O36" s="166" t="e">
        <f t="shared" si="7"/>
        <v>#DIV/0!</v>
      </c>
      <c r="P36" s="167">
        <f>SUM(P28:P35)</f>
        <v>488</v>
      </c>
      <c r="Q36" s="167">
        <f t="shared" si="7"/>
        <v>1808</v>
      </c>
      <c r="R36" s="167" t="e">
        <f t="shared" si="7"/>
        <v>#REF!</v>
      </c>
      <c r="S36" s="168">
        <f t="shared" si="7"/>
        <v>311</v>
      </c>
      <c r="T36" s="168">
        <f t="shared" si="7"/>
        <v>0</v>
      </c>
      <c r="U36" s="169">
        <f t="shared" si="7"/>
        <v>494</v>
      </c>
      <c r="V36" s="169">
        <f t="shared" si="7"/>
        <v>42</v>
      </c>
      <c r="W36" s="169">
        <f t="shared" si="7"/>
        <v>0</v>
      </c>
      <c r="X36" s="170">
        <f t="shared" si="7"/>
        <v>28</v>
      </c>
      <c r="Y36" s="171"/>
      <c r="Z36" s="172"/>
      <c r="AA36" s="172"/>
      <c r="AB36" s="173"/>
    </row>
    <row r="37" spans="1:51" ht="26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51">
      <c r="A38" s="334"/>
      <c r="B38" s="371" t="s">
        <v>45</v>
      </c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2" t="s">
        <v>46</v>
      </c>
      <c r="AF38" s="372"/>
      <c r="AG38" s="372"/>
      <c r="AH38" s="372"/>
      <c r="AI38" s="372"/>
      <c r="AJ38" s="372"/>
      <c r="AK38" s="372"/>
      <c r="AL38" s="372"/>
      <c r="AM38" s="372"/>
      <c r="AN38" s="372"/>
      <c r="AO38" s="372"/>
      <c r="AP38" s="372"/>
      <c r="AQ38" s="372"/>
      <c r="AR38" s="372"/>
      <c r="AS38" s="372"/>
      <c r="AT38" s="372"/>
    </row>
    <row r="39" spans="1:51" ht="15.75" thickBot="1">
      <c r="A39" s="334"/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1"/>
      <c r="AD39" s="371"/>
      <c r="AE39" s="372"/>
      <c r="AF39" s="372"/>
      <c r="AG39" s="372"/>
      <c r="AH39" s="372"/>
      <c r="AI39" s="372"/>
      <c r="AJ39" s="372"/>
      <c r="AK39" s="372"/>
      <c r="AL39" s="372"/>
      <c r="AM39" s="372"/>
      <c r="AN39" s="372"/>
      <c r="AO39" s="372"/>
      <c r="AP39" s="372"/>
      <c r="AQ39" s="372"/>
      <c r="AR39" s="372"/>
      <c r="AS39" s="372"/>
      <c r="AT39" s="372"/>
    </row>
    <row r="40" spans="1:51" ht="38.25">
      <c r="A40" s="72" t="s">
        <v>120</v>
      </c>
      <c r="B40" s="395" t="s">
        <v>47</v>
      </c>
      <c r="C40" s="396"/>
      <c r="D40" s="397" t="s">
        <v>30</v>
      </c>
      <c r="E40" s="398"/>
      <c r="F40" s="399" t="s">
        <v>41</v>
      </c>
      <c r="G40" s="400"/>
      <c r="H40" s="373" t="s">
        <v>48</v>
      </c>
      <c r="I40" s="373" t="s">
        <v>49</v>
      </c>
      <c r="J40" s="373" t="s">
        <v>50</v>
      </c>
      <c r="K40" s="375" t="s">
        <v>51</v>
      </c>
      <c r="L40" s="359" t="s">
        <v>52</v>
      </c>
      <c r="M40" s="360"/>
      <c r="N40" s="360"/>
      <c r="O40" s="361"/>
      <c r="P40" s="177"/>
      <c r="Q40" s="377" t="s">
        <v>53</v>
      </c>
      <c r="R40" s="378"/>
      <c r="S40" s="178" t="s">
        <v>43</v>
      </c>
      <c r="T40" s="179" t="s">
        <v>54</v>
      </c>
      <c r="U40" s="179"/>
      <c r="V40" s="379" t="s">
        <v>55</v>
      </c>
      <c r="W40" s="379"/>
      <c r="X40" s="379"/>
      <c r="Y40" s="180" t="s">
        <v>56</v>
      </c>
      <c r="Z40" s="181" t="s">
        <v>57</v>
      </c>
      <c r="AA40" s="380" t="s">
        <v>42</v>
      </c>
      <c r="AB40" s="380" t="s">
        <v>58</v>
      </c>
      <c r="AC40" s="380" t="s">
        <v>59</v>
      </c>
      <c r="AD40" s="382" t="s">
        <v>134</v>
      </c>
      <c r="AE40" s="182" t="s">
        <v>41</v>
      </c>
      <c r="AF40" s="183" t="s">
        <v>61</v>
      </c>
      <c r="AG40" s="359" t="s">
        <v>62</v>
      </c>
      <c r="AH40" s="360"/>
      <c r="AI40" s="360"/>
      <c r="AJ40" s="361"/>
      <c r="AK40" s="384" t="s">
        <v>53</v>
      </c>
      <c r="AL40" s="385"/>
      <c r="AM40" s="369" t="s">
        <v>63</v>
      </c>
      <c r="AN40" s="370"/>
      <c r="AO40" s="184" t="s">
        <v>54</v>
      </c>
      <c r="AP40" s="181" t="s">
        <v>57</v>
      </c>
      <c r="AQ40" s="386" t="s">
        <v>42</v>
      </c>
      <c r="AR40" s="388" t="s">
        <v>58</v>
      </c>
      <c r="AS40" s="364" t="s">
        <v>59</v>
      </c>
      <c r="AT40" s="390" t="s">
        <v>64</v>
      </c>
      <c r="AU40" s="366" t="s">
        <v>65</v>
      </c>
      <c r="AV40" s="367"/>
      <c r="AW40" s="367"/>
      <c r="AX40" s="367"/>
      <c r="AY40" s="368"/>
    </row>
    <row r="41" spans="1:51" ht="70.5" thickBot="1">
      <c r="A41" s="83">
        <v>2020</v>
      </c>
      <c r="B41" s="335" t="s">
        <v>135</v>
      </c>
      <c r="C41" s="335" t="s">
        <v>136</v>
      </c>
      <c r="D41" s="335" t="s">
        <v>137</v>
      </c>
      <c r="E41" s="336" t="s">
        <v>136</v>
      </c>
      <c r="F41" s="337" t="s">
        <v>86</v>
      </c>
      <c r="G41" s="337" t="s">
        <v>138</v>
      </c>
      <c r="H41" s="374"/>
      <c r="I41" s="374"/>
      <c r="J41" s="374"/>
      <c r="K41" s="376"/>
      <c r="L41" s="186" t="s">
        <v>68</v>
      </c>
      <c r="M41" s="186" t="s">
        <v>69</v>
      </c>
      <c r="N41" s="186" t="s">
        <v>70</v>
      </c>
      <c r="O41" s="187" t="s">
        <v>71</v>
      </c>
      <c r="P41" s="188" t="s">
        <v>131</v>
      </c>
      <c r="Q41" s="189" t="s">
        <v>72</v>
      </c>
      <c r="R41" s="189" t="s">
        <v>73</v>
      </c>
      <c r="S41" s="190" t="s">
        <v>74</v>
      </c>
      <c r="T41" s="191" t="s">
        <v>75</v>
      </c>
      <c r="U41" s="191" t="s">
        <v>43</v>
      </c>
      <c r="V41" s="192" t="s">
        <v>76</v>
      </c>
      <c r="W41" s="192" t="s">
        <v>77</v>
      </c>
      <c r="X41" s="192" t="s">
        <v>43</v>
      </c>
      <c r="Y41" s="193" t="s">
        <v>78</v>
      </c>
      <c r="Z41" s="194" t="s">
        <v>78</v>
      </c>
      <c r="AA41" s="381"/>
      <c r="AB41" s="381"/>
      <c r="AC41" s="381"/>
      <c r="AD41" s="383"/>
      <c r="AE41" s="195" t="s">
        <v>67</v>
      </c>
      <c r="AF41" s="195" t="s">
        <v>79</v>
      </c>
      <c r="AG41" s="186" t="s">
        <v>68</v>
      </c>
      <c r="AH41" s="186" t="s">
        <v>69</v>
      </c>
      <c r="AI41" s="186" t="s">
        <v>70</v>
      </c>
      <c r="AJ41" s="187" t="s">
        <v>71</v>
      </c>
      <c r="AK41" s="196" t="s">
        <v>72</v>
      </c>
      <c r="AL41" s="196" t="s">
        <v>73</v>
      </c>
      <c r="AM41" s="89" t="s">
        <v>80</v>
      </c>
      <c r="AN41" s="89" t="s">
        <v>81</v>
      </c>
      <c r="AO41" s="88" t="s">
        <v>78</v>
      </c>
      <c r="AP41" s="194" t="s">
        <v>82</v>
      </c>
      <c r="AQ41" s="387"/>
      <c r="AR41" s="389"/>
      <c r="AS41" s="365"/>
      <c r="AT41" s="391"/>
      <c r="AU41" s="392"/>
      <c r="AV41" s="393"/>
      <c r="AW41" s="393"/>
      <c r="AX41" s="393"/>
      <c r="AY41" s="394"/>
    </row>
    <row r="42" spans="1:51" ht="28.5" customHeight="1">
      <c r="A42" s="219">
        <v>1</v>
      </c>
      <c r="B42" s="213">
        <f>420+280+1500</f>
        <v>2200</v>
      </c>
      <c r="C42" s="213"/>
      <c r="D42" s="32">
        <f>500+498+500+100+210+136+210</f>
        <v>2154</v>
      </c>
      <c r="E42" s="32"/>
      <c r="F42" s="338">
        <f>(D42*2.8)+(E42*2)</f>
        <v>6031.2</v>
      </c>
      <c r="G42" s="338">
        <f>+F42/1000</f>
        <v>6.0312000000000001</v>
      </c>
      <c r="H42" s="339">
        <f>('[2]1'!AM48+'[2]2'!AM48+'[2]3'!AM48+'[2]10K'!AM48)/4</f>
        <v>0</v>
      </c>
      <c r="I42" s="339">
        <f>('[2]1'!AN48+'[2]2'!AN48+'[2]3'!AN48+'[2]10K'!AN48)/4</f>
        <v>0</v>
      </c>
      <c r="J42" s="339">
        <f>('[2]1'!AO48+'[2]2'!AO48+'[2]3'!AO48+'[2]10K'!AO48)/4</f>
        <v>0</v>
      </c>
      <c r="K42" s="339">
        <f>(H42*I42*J42)/10000</f>
        <v>0</v>
      </c>
      <c r="L42" s="340">
        <f>AA42*8</f>
        <v>208</v>
      </c>
      <c r="M42" s="32">
        <v>86</v>
      </c>
      <c r="N42" s="341">
        <f t="shared" ref="N42:N72" si="8">M42+L42</f>
        <v>294</v>
      </c>
      <c r="O42" s="342">
        <f>N42/G42</f>
        <v>48.746518105849582</v>
      </c>
      <c r="P42" s="342">
        <f>N42/D42</f>
        <v>0.13649025069637882</v>
      </c>
      <c r="Q42" s="218">
        <f>'[2]1'!F48+'[2]2'!F48+'[2]3'!F48+'[2]10K'!F48</f>
        <v>0</v>
      </c>
      <c r="R42" s="218">
        <f>'[2]1'!AA48+'[2]2'!AA48+'[2]3'!AA48</f>
        <v>0</v>
      </c>
      <c r="S42" s="219" t="e">
        <f t="shared" ref="S42:S72" si="9">Q42/R42</f>
        <v>#DIV/0!</v>
      </c>
      <c r="T42" s="222">
        <f>0.8+0.5+0.4+0.5+1.2</f>
        <v>3.4000000000000004</v>
      </c>
      <c r="U42" s="343">
        <f>+T42/F42</f>
        <v>5.6373524340098166E-4</v>
      </c>
      <c r="V42" s="222">
        <f>((3.1+2.8+2.8+0.8)*17.4)+((5.6+2.5+6.8)*11)</f>
        <v>329.19999999999993</v>
      </c>
      <c r="W42" s="222">
        <f>'[2]1'!AR48+'[2]2'!AR48+'[2]3'!AR48</f>
        <v>0</v>
      </c>
      <c r="X42" s="344">
        <f>W42/V42</f>
        <v>0</v>
      </c>
      <c r="Y42" s="218">
        <v>3.9</v>
      </c>
      <c r="Z42" s="218">
        <v>4.7</v>
      </c>
      <c r="AA42" s="218">
        <v>26</v>
      </c>
      <c r="AB42" s="218">
        <v>2</v>
      </c>
      <c r="AC42" s="218"/>
      <c r="AD42" s="218">
        <v>28</v>
      </c>
      <c r="AE42" s="222">
        <v>3270</v>
      </c>
      <c r="AF42" s="218">
        <v>5</v>
      </c>
      <c r="AG42" s="224">
        <f t="shared" ref="AG42:AG60" si="10">AQ42*8</f>
        <v>96</v>
      </c>
      <c r="AH42" s="218">
        <v>9.4</v>
      </c>
      <c r="AI42" s="222">
        <f t="shared" ref="AI42:AI72" si="11">AG42+AH42</f>
        <v>105.4</v>
      </c>
      <c r="AJ42" s="251">
        <f t="shared" ref="AJ42:AJ49" si="12">AE42/AQ42</f>
        <v>272.5</v>
      </c>
      <c r="AK42" s="218">
        <f>8*5*60</f>
        <v>2400</v>
      </c>
      <c r="AL42" s="218"/>
      <c r="AM42" s="222">
        <v>162.19999999999999</v>
      </c>
      <c r="AN42" s="222">
        <v>10.1</v>
      </c>
      <c r="AO42" s="218">
        <v>12</v>
      </c>
      <c r="AP42" s="218"/>
      <c r="AQ42" s="218">
        <v>12</v>
      </c>
      <c r="AR42" s="218"/>
      <c r="AS42" s="218"/>
      <c r="AT42" s="257">
        <v>12</v>
      </c>
      <c r="AU42" s="345"/>
      <c r="AV42" s="346"/>
      <c r="AW42" s="346"/>
      <c r="AX42" s="346"/>
      <c r="AY42" s="347"/>
    </row>
    <row r="43" spans="1:51" ht="26.25">
      <c r="A43" s="229">
        <v>2</v>
      </c>
      <c r="B43" s="230"/>
      <c r="C43" s="230"/>
      <c r="D43" s="235"/>
      <c r="E43" s="232"/>
      <c r="F43" s="232">
        <f>(D43*2.8)+(E43*2)</f>
        <v>0</v>
      </c>
      <c r="G43" s="232">
        <f t="shared" ref="G43:G72" si="13">+F43/1000</f>
        <v>0</v>
      </c>
      <c r="H43" s="233"/>
      <c r="I43" s="233"/>
      <c r="J43" s="233"/>
      <c r="K43" s="233"/>
      <c r="L43" s="234"/>
      <c r="M43" s="259"/>
      <c r="N43" s="235">
        <f t="shared" si="8"/>
        <v>0</v>
      </c>
      <c r="O43" s="240"/>
      <c r="P43" s="240"/>
      <c r="Q43" s="236">
        <f>'[2]1'!F49+'[2]2'!F49+'[2]3'!F49</f>
        <v>0</v>
      </c>
      <c r="R43" s="236">
        <f>'[2]1'!AA49+'[2]2'!AA49+'[2]3'!AA49</f>
        <v>0</v>
      </c>
      <c r="S43" s="237" t="e">
        <f t="shared" si="9"/>
        <v>#DIV/0!</v>
      </c>
      <c r="T43" s="238"/>
      <c r="U43" s="239"/>
      <c r="V43" s="238"/>
      <c r="W43" s="240">
        <f>'[2]1'!AR49+'[2]2'!AR49+'[2]3'!AR49</f>
        <v>0</v>
      </c>
      <c r="X43" s="240"/>
      <c r="Y43" s="241" t="s">
        <v>83</v>
      </c>
      <c r="Z43" s="241" t="s">
        <v>83</v>
      </c>
      <c r="AA43" s="236">
        <v>0</v>
      </c>
      <c r="AB43" s="241" t="s">
        <v>83</v>
      </c>
      <c r="AC43" s="241" t="s">
        <v>83</v>
      </c>
      <c r="AD43" s="236">
        <v>21</v>
      </c>
      <c r="AE43" s="238"/>
      <c r="AF43" s="241"/>
      <c r="AG43" s="242">
        <f t="shared" si="10"/>
        <v>0</v>
      </c>
      <c r="AH43" s="241"/>
      <c r="AI43" s="240">
        <f t="shared" si="11"/>
        <v>0</v>
      </c>
      <c r="AJ43" s="240"/>
      <c r="AK43" s="241"/>
      <c r="AL43" s="241" t="s">
        <v>83</v>
      </c>
      <c r="AM43" s="238"/>
      <c r="AN43" s="238"/>
      <c r="AO43" s="241"/>
      <c r="AP43" s="241" t="s">
        <v>83</v>
      </c>
      <c r="AQ43" s="241"/>
      <c r="AR43" s="241" t="s">
        <v>83</v>
      </c>
      <c r="AS43" s="241" t="s">
        <v>83</v>
      </c>
      <c r="AT43" s="243">
        <v>12</v>
      </c>
      <c r="AU43" s="244"/>
      <c r="AV43" s="245"/>
      <c r="AW43" s="245"/>
      <c r="AX43" s="245"/>
      <c r="AY43" s="246"/>
    </row>
    <row r="44" spans="1:51" ht="26.25">
      <c r="A44" s="212">
        <v>3</v>
      </c>
      <c r="B44" s="213">
        <v>450</v>
      </c>
      <c r="C44" s="213">
        <f>800+500</f>
        <v>1300</v>
      </c>
      <c r="D44" s="214">
        <f>210+140</f>
        <v>350</v>
      </c>
      <c r="E44" s="32">
        <f>200+260</f>
        <v>460</v>
      </c>
      <c r="F44" s="338">
        <f>(D44*2.8)+(E44*2)</f>
        <v>1900</v>
      </c>
      <c r="G44" s="338">
        <f t="shared" si="13"/>
        <v>1.9</v>
      </c>
      <c r="H44" s="339">
        <f>('[2]1'!AM50+'[2]2'!AM50+'[2]3'!AM50)/3</f>
        <v>0</v>
      </c>
      <c r="I44" s="339">
        <f>('[2]1'!AN50+'[2]2'!AN50+'[2]3'!AN50)/3</f>
        <v>0</v>
      </c>
      <c r="J44" s="339">
        <f>('[2]1'!AO50+'[2]2'!AO50+'[2]3'!AO50)/3</f>
        <v>0</v>
      </c>
      <c r="K44" s="339">
        <f>(H44*I44*J44)/10000</f>
        <v>0</v>
      </c>
      <c r="L44" s="348">
        <f t="shared" ref="L44:L72" si="14">AA44*8</f>
        <v>208</v>
      </c>
      <c r="M44" s="217">
        <v>0</v>
      </c>
      <c r="N44" s="349">
        <f t="shared" si="8"/>
        <v>208</v>
      </c>
      <c r="O44" s="342">
        <f t="shared" ref="O44:O70" si="15">N44/G44</f>
        <v>109.47368421052632</v>
      </c>
      <c r="P44" s="342">
        <f>L44/(D44+E44)</f>
        <v>0.25679012345679014</v>
      </c>
      <c r="Q44" s="218">
        <f>'[2]1'!F50+'[2]2'!F50+'[2]3'!F50+'[2]10K'!F50</f>
        <v>0</v>
      </c>
      <c r="R44" s="218">
        <f>'[2]1'!AA50+'[2]2'!AA50+'[2]3'!AA50</f>
        <v>0</v>
      </c>
      <c r="S44" s="219" t="e">
        <f t="shared" si="9"/>
        <v>#DIV/0!</v>
      </c>
      <c r="T44" s="220">
        <f>0.3+0.3+0.6+0.5+0.5</f>
        <v>2.2000000000000002</v>
      </c>
      <c r="U44" s="350">
        <f t="shared" ref="U44:U73" si="16">+T44/F44</f>
        <v>1.1578947368421054E-3</v>
      </c>
      <c r="V44" s="220">
        <f>22+3+33+2.5+3+17.4+8.6</f>
        <v>89.5</v>
      </c>
      <c r="W44" s="222">
        <f>'[2]1'!AR50+'[2]2'!AR50+'[2]3'!AR50</f>
        <v>0</v>
      </c>
      <c r="X44" s="344">
        <f>W44/V44</f>
        <v>0</v>
      </c>
      <c r="Y44" s="223"/>
      <c r="Z44" s="223"/>
      <c r="AA44" s="218">
        <v>26</v>
      </c>
      <c r="AB44" s="223">
        <v>2</v>
      </c>
      <c r="AC44" s="223" t="s">
        <v>83</v>
      </c>
      <c r="AD44" s="218">
        <v>28</v>
      </c>
      <c r="AE44" s="220">
        <f>339.6+1404</f>
        <v>1743.6</v>
      </c>
      <c r="AF44" s="223">
        <v>5</v>
      </c>
      <c r="AG44" s="224">
        <f t="shared" si="10"/>
        <v>96</v>
      </c>
      <c r="AH44" s="223">
        <v>33</v>
      </c>
      <c r="AI44" s="222">
        <f t="shared" si="11"/>
        <v>129</v>
      </c>
      <c r="AJ44" s="222">
        <f t="shared" si="12"/>
        <v>145.29999999999998</v>
      </c>
      <c r="AK44" s="223">
        <f>11*5*60</f>
        <v>3300</v>
      </c>
      <c r="AL44" s="223" t="s">
        <v>83</v>
      </c>
      <c r="AM44" s="220">
        <f>159.8+71.6</f>
        <v>231.4</v>
      </c>
      <c r="AN44" s="220">
        <f>11.9+6.4</f>
        <v>18.3</v>
      </c>
      <c r="AO44" s="223">
        <f>8+4</f>
        <v>12</v>
      </c>
      <c r="AP44" s="223" t="s">
        <v>83</v>
      </c>
      <c r="AQ44" s="223">
        <v>12</v>
      </c>
      <c r="AR44" s="223" t="s">
        <v>83</v>
      </c>
      <c r="AS44" s="223" t="s">
        <v>83</v>
      </c>
      <c r="AT44" s="225">
        <v>12</v>
      </c>
      <c r="AU44" s="226"/>
      <c r="AV44" s="227"/>
      <c r="AW44" s="227"/>
      <c r="AX44" s="227"/>
      <c r="AY44" s="228"/>
    </row>
    <row r="45" spans="1:51" ht="26.25">
      <c r="A45" s="212">
        <v>4</v>
      </c>
      <c r="B45" s="213">
        <f>450+140+210</f>
        <v>800</v>
      </c>
      <c r="C45" s="213">
        <v>500</v>
      </c>
      <c r="D45" s="214">
        <f>60+70+210</f>
        <v>340</v>
      </c>
      <c r="E45" s="32">
        <f>600+200+240</f>
        <v>1040</v>
      </c>
      <c r="F45" s="338">
        <f t="shared" ref="F45:F72" si="17">(D45*2.8)+(E45*2)</f>
        <v>3032</v>
      </c>
      <c r="G45" s="338">
        <f t="shared" si="13"/>
        <v>3.032</v>
      </c>
      <c r="H45" s="339">
        <f>('[2]1'!AM51+'[2]2'!AM51+'[2]3'!AM51+'[2]10K'!AM51)/4</f>
        <v>0</v>
      </c>
      <c r="I45" s="339">
        <f>('[2]1'!AN51+'[2]2'!AN51+'[2]3'!AN51+'[2]10K'!AN51)/4</f>
        <v>0</v>
      </c>
      <c r="J45" s="339">
        <f>('[2]1'!AO51+'[2]2'!AO51+'[2]3'!AO51+'[2]10K'!AO51)/4</f>
        <v>0</v>
      </c>
      <c r="K45" s="339">
        <f t="shared" ref="K45:K58" si="18">(H45*I45*J45)/10000</f>
        <v>0</v>
      </c>
      <c r="L45" s="348">
        <f t="shared" si="14"/>
        <v>216</v>
      </c>
      <c r="M45" s="217">
        <v>0</v>
      </c>
      <c r="N45" s="349">
        <f t="shared" si="8"/>
        <v>216</v>
      </c>
      <c r="O45" s="342">
        <f t="shared" si="15"/>
        <v>71.24010554089709</v>
      </c>
      <c r="P45" s="342">
        <f t="shared" ref="P45:P72" si="19">L45/(D45+E45)</f>
        <v>0.15652173913043479</v>
      </c>
      <c r="Q45" s="218">
        <f>'[2]1'!F51+'[2]2'!F51+'[2]3'!F51+'[2]10K'!F51</f>
        <v>0</v>
      </c>
      <c r="R45" s="218">
        <f>'[2]1'!AA51+'[2]2'!AA51+'[2]3'!AA51</f>
        <v>0</v>
      </c>
      <c r="S45" s="219" t="e">
        <f t="shared" si="9"/>
        <v>#DIV/0!</v>
      </c>
      <c r="T45" s="220">
        <f>0.3+0.2+0.7+0.2+0.1+0.2</f>
        <v>1.7</v>
      </c>
      <c r="U45" s="350">
        <f t="shared" si="16"/>
        <v>5.606860158311346E-4</v>
      </c>
      <c r="V45" s="220">
        <f>22+4.2+33+3.2+1+52.2+10.4+4.1+11+6.2</f>
        <v>147.30000000000001</v>
      </c>
      <c r="W45" s="222">
        <f>'[2]1'!AR51+'[2]2'!AR51+'[2]3'!AR51</f>
        <v>0</v>
      </c>
      <c r="X45" s="344">
        <f t="shared" ref="X45:X73" si="20">W45/V45</f>
        <v>0</v>
      </c>
      <c r="Y45" s="223"/>
      <c r="Z45" s="223"/>
      <c r="AA45" s="218">
        <v>27</v>
      </c>
      <c r="AB45" s="223">
        <v>1</v>
      </c>
      <c r="AC45" s="223" t="s">
        <v>83</v>
      </c>
      <c r="AD45" s="218">
        <v>28</v>
      </c>
      <c r="AE45" s="220">
        <v>3338.4</v>
      </c>
      <c r="AF45" s="223">
        <v>5</v>
      </c>
      <c r="AG45" s="224">
        <f t="shared" si="10"/>
        <v>88</v>
      </c>
      <c r="AH45" s="223">
        <v>0</v>
      </c>
      <c r="AI45" s="222">
        <f t="shared" si="11"/>
        <v>88</v>
      </c>
      <c r="AJ45" s="222">
        <f t="shared" si="12"/>
        <v>303.4909090909091</v>
      </c>
      <c r="AK45" s="223">
        <f>5*8*60</f>
        <v>2400</v>
      </c>
      <c r="AL45" s="223"/>
      <c r="AM45" s="220">
        <v>167.45</v>
      </c>
      <c r="AN45" s="220">
        <v>10.9</v>
      </c>
      <c r="AO45" s="223">
        <v>10</v>
      </c>
      <c r="AP45" s="223" t="s">
        <v>83</v>
      </c>
      <c r="AQ45" s="223">
        <v>11</v>
      </c>
      <c r="AR45" s="223">
        <v>1</v>
      </c>
      <c r="AS45" s="223" t="s">
        <v>83</v>
      </c>
      <c r="AT45" s="225">
        <v>12</v>
      </c>
      <c r="AU45" s="226"/>
      <c r="AV45" s="227"/>
      <c r="AW45" s="227"/>
      <c r="AX45" s="227"/>
      <c r="AY45" s="228"/>
    </row>
    <row r="46" spans="1:51" ht="26.25">
      <c r="A46" s="212">
        <v>5</v>
      </c>
      <c r="B46" s="213">
        <v>0</v>
      </c>
      <c r="C46" s="213">
        <v>1000</v>
      </c>
      <c r="D46" s="214">
        <f>90+140</f>
        <v>230</v>
      </c>
      <c r="E46" s="32">
        <f>200+200+500</f>
        <v>900</v>
      </c>
      <c r="F46" s="338">
        <f t="shared" si="17"/>
        <v>2444</v>
      </c>
      <c r="G46" s="338">
        <f t="shared" si="13"/>
        <v>2.444</v>
      </c>
      <c r="H46" s="339">
        <f>('[2]1'!AM52+'[2]2'!AM52+'[2]3'!AM52)/3</f>
        <v>0</v>
      </c>
      <c r="I46" s="339">
        <f>('[2]1'!AN52+'[2]2'!AN52+'[2]3'!AN52)/3</f>
        <v>0</v>
      </c>
      <c r="J46" s="339">
        <f>('[2]1'!AO52+'[2]2'!AO52+'[2]3'!AO52)/3</f>
        <v>0</v>
      </c>
      <c r="K46" s="339">
        <f t="shared" si="18"/>
        <v>0</v>
      </c>
      <c r="L46" s="348">
        <f t="shared" si="14"/>
        <v>200</v>
      </c>
      <c r="M46" s="214">
        <v>0</v>
      </c>
      <c r="N46" s="349">
        <f t="shared" si="8"/>
        <v>200</v>
      </c>
      <c r="O46" s="342">
        <f t="shared" si="15"/>
        <v>81.833060556464815</v>
      </c>
      <c r="P46" s="342">
        <f t="shared" si="19"/>
        <v>0.17699115044247787</v>
      </c>
      <c r="Q46" s="218">
        <f>'[2]1'!F52+'[2]2'!F52+'[2]3'!F52+'[2]10K'!F52</f>
        <v>0</v>
      </c>
      <c r="R46" s="218">
        <f>'[2]1'!AA52+'[2]2'!AA52+'[2]3'!AA52</f>
        <v>0</v>
      </c>
      <c r="S46" s="219" t="e">
        <f t="shared" si="9"/>
        <v>#DIV/0!</v>
      </c>
      <c r="T46" s="220">
        <f>0.4+0.1+0.4+0.4+0.1+0.1+0.4</f>
        <v>1.9000000000000004</v>
      </c>
      <c r="U46" s="350">
        <f t="shared" si="16"/>
        <v>7.7741407528641581E-4</v>
      </c>
      <c r="V46" s="220">
        <f>22+6.5+11+7.2+4+52.2+14.1+7.4+10</f>
        <v>134.4</v>
      </c>
      <c r="W46" s="222">
        <f>'[2]1'!AR52+'[2]2'!AR52+'[2]3'!AR52</f>
        <v>0</v>
      </c>
      <c r="X46" s="344">
        <f t="shared" si="20"/>
        <v>0</v>
      </c>
      <c r="Y46" s="223"/>
      <c r="Z46" s="223"/>
      <c r="AA46" s="223">
        <v>25</v>
      </c>
      <c r="AB46" s="223">
        <v>3</v>
      </c>
      <c r="AC46" s="223"/>
      <c r="AD46" s="218">
        <v>28</v>
      </c>
      <c r="AE46" s="220">
        <v>1774.2</v>
      </c>
      <c r="AF46" s="223">
        <v>5</v>
      </c>
      <c r="AG46" s="224">
        <f t="shared" si="10"/>
        <v>96</v>
      </c>
      <c r="AH46" s="223">
        <v>0</v>
      </c>
      <c r="AI46" s="222">
        <f t="shared" si="11"/>
        <v>96</v>
      </c>
      <c r="AJ46" s="222">
        <f t="shared" si="12"/>
        <v>147.85</v>
      </c>
      <c r="AK46" s="223">
        <f>8*5*60</f>
        <v>2400</v>
      </c>
      <c r="AL46" s="223">
        <f>40+60+60+30+45+60+60</f>
        <v>355</v>
      </c>
      <c r="AM46" s="220">
        <v>80.7</v>
      </c>
      <c r="AN46" s="220">
        <v>12.4</v>
      </c>
      <c r="AO46" s="223">
        <v>6</v>
      </c>
      <c r="AP46" s="223"/>
      <c r="AQ46" s="223">
        <v>12</v>
      </c>
      <c r="AR46" s="223">
        <v>0</v>
      </c>
      <c r="AS46" s="223"/>
      <c r="AT46" s="225">
        <v>12</v>
      </c>
      <c r="AU46" s="226"/>
      <c r="AV46" s="227"/>
      <c r="AW46" s="227"/>
      <c r="AX46" s="227"/>
      <c r="AY46" s="228"/>
    </row>
    <row r="47" spans="1:51" ht="26.25">
      <c r="A47" s="212">
        <v>6</v>
      </c>
      <c r="B47" s="213">
        <v>0</v>
      </c>
      <c r="C47" s="213">
        <v>500</v>
      </c>
      <c r="D47" s="214">
        <f>60+200+140</f>
        <v>400</v>
      </c>
      <c r="E47" s="32">
        <f>1500+100</f>
        <v>1600</v>
      </c>
      <c r="F47" s="338">
        <f t="shared" si="17"/>
        <v>4320</v>
      </c>
      <c r="G47" s="338">
        <f t="shared" si="13"/>
        <v>4.32</v>
      </c>
      <c r="H47" s="339">
        <f>('[2]1'!AM53+'[2]2'!AM53+'[2]3'!AM53)/4</f>
        <v>0</v>
      </c>
      <c r="I47" s="339">
        <f>('[2]1'!AN53+'[2]2'!AN53+'[2]3'!AN53)/4</f>
        <v>0</v>
      </c>
      <c r="J47" s="339">
        <f>('[2]1'!AO53+'[2]2'!AO53+'[2]3'!AO53)/4</f>
        <v>0</v>
      </c>
      <c r="K47" s="339">
        <f t="shared" si="18"/>
        <v>0</v>
      </c>
      <c r="L47" s="348">
        <f t="shared" si="14"/>
        <v>216</v>
      </c>
      <c r="M47" s="217">
        <v>108.2</v>
      </c>
      <c r="N47" s="349">
        <f t="shared" si="8"/>
        <v>324.2</v>
      </c>
      <c r="O47" s="342">
        <f t="shared" si="15"/>
        <v>75.046296296296291</v>
      </c>
      <c r="P47" s="342">
        <f t="shared" si="19"/>
        <v>0.108</v>
      </c>
      <c r="Q47" s="218">
        <f>'[2]1'!F53+'[2]2'!F53+'[2]3'!F53+'[2]10K'!F53</f>
        <v>0</v>
      </c>
      <c r="R47" s="218">
        <f>'[2]1'!AA53+'[2]2'!AA53+'[2]3'!AA53</f>
        <v>0</v>
      </c>
      <c r="S47" s="219" t="e">
        <f>Q47/R47</f>
        <v>#DIV/0!</v>
      </c>
      <c r="T47" s="220">
        <f>0.3+0.6+0.8+0.8+0.3+0.1+0.3</f>
        <v>3.1999999999999997</v>
      </c>
      <c r="U47" s="350">
        <f t="shared" si="16"/>
        <v>7.407407407407407E-4</v>
      </c>
      <c r="V47" s="220">
        <f>33+15+33+9+4.5+9.8+16+12+104.4</f>
        <v>236.70000000000002</v>
      </c>
      <c r="W47" s="222">
        <f>'[2]1'!AR53+'[2]2'!AR53+'[2]3'!AR53</f>
        <v>0</v>
      </c>
      <c r="X47" s="344">
        <f t="shared" si="20"/>
        <v>0</v>
      </c>
      <c r="Y47" s="223"/>
      <c r="Z47" s="223"/>
      <c r="AA47" s="218">
        <v>27</v>
      </c>
      <c r="AB47" s="223">
        <v>1</v>
      </c>
      <c r="AC47" s="223" t="s">
        <v>83</v>
      </c>
      <c r="AD47" s="218">
        <v>28</v>
      </c>
      <c r="AE47" s="220">
        <v>3344.4</v>
      </c>
      <c r="AF47" s="223">
        <v>5</v>
      </c>
      <c r="AG47" s="224">
        <f t="shared" si="10"/>
        <v>96</v>
      </c>
      <c r="AH47" s="223">
        <v>0</v>
      </c>
      <c r="AI47" s="222">
        <f t="shared" si="11"/>
        <v>96</v>
      </c>
      <c r="AJ47" s="222">
        <f t="shared" si="12"/>
        <v>278.7</v>
      </c>
      <c r="AK47" s="223">
        <f>8*5*60</f>
        <v>2400</v>
      </c>
      <c r="AL47" s="223"/>
      <c r="AM47" s="220">
        <v>157.9</v>
      </c>
      <c r="AN47" s="220">
        <v>12.6</v>
      </c>
      <c r="AO47" s="247">
        <v>8</v>
      </c>
      <c r="AP47" s="223" t="s">
        <v>83</v>
      </c>
      <c r="AQ47" s="223">
        <v>12</v>
      </c>
      <c r="AR47" s="223"/>
      <c r="AS47" s="223" t="s">
        <v>83</v>
      </c>
      <c r="AT47" s="225">
        <v>12</v>
      </c>
      <c r="AU47" s="226"/>
      <c r="AV47" s="227"/>
      <c r="AW47" s="227"/>
      <c r="AX47" s="227"/>
      <c r="AY47" s="228"/>
    </row>
    <row r="48" spans="1:51" ht="26.25">
      <c r="A48" s="212">
        <v>7</v>
      </c>
      <c r="B48" s="213">
        <v>280</v>
      </c>
      <c r="C48" s="213">
        <v>500</v>
      </c>
      <c r="D48" s="214">
        <f>70+70+140+70</f>
        <v>350</v>
      </c>
      <c r="E48" s="32">
        <v>400</v>
      </c>
      <c r="F48" s="338">
        <f t="shared" si="17"/>
        <v>1780</v>
      </c>
      <c r="G48" s="338">
        <f t="shared" si="13"/>
        <v>1.78</v>
      </c>
      <c r="H48" s="339">
        <f>('[2]1'!AM54+'[2]2'!AM54+'[2]3'!AM54)/4</f>
        <v>0</v>
      </c>
      <c r="I48" s="339">
        <f>('[2]1'!AN54+'[2]2'!AN54+'[2]3'!AN54)/4</f>
        <v>0</v>
      </c>
      <c r="J48" s="339">
        <f>('[2]1'!AO54+'[2]2'!AO54+'[2]3'!AO54)/4</f>
        <v>0</v>
      </c>
      <c r="K48" s="339">
        <f t="shared" si="18"/>
        <v>0</v>
      </c>
      <c r="L48" s="348">
        <f t="shared" si="14"/>
        <v>216</v>
      </c>
      <c r="M48" s="217">
        <v>0</v>
      </c>
      <c r="N48" s="349">
        <f t="shared" si="8"/>
        <v>216</v>
      </c>
      <c r="O48" s="342">
        <f>N48/G48</f>
        <v>121.34831460674157</v>
      </c>
      <c r="P48" s="342">
        <f t="shared" si="19"/>
        <v>0.28799999999999998</v>
      </c>
      <c r="Q48" s="218">
        <f>'[2]1'!F54+'[2]2'!F54+'[2]3'!F54+'[2]10K'!F54</f>
        <v>0</v>
      </c>
      <c r="R48" s="218">
        <f>'[2]1'!AA54+'[2]2'!AA54+'[2]3'!AA54</f>
        <v>0</v>
      </c>
      <c r="S48" s="219" t="e">
        <f>Q48/R48</f>
        <v>#DIV/0!</v>
      </c>
      <c r="T48" s="220">
        <f>0.1+0.1+0.5+0.2+0.2+0.3+0.3+0.2+0.2</f>
        <v>2.1</v>
      </c>
      <c r="U48" s="350">
        <f t="shared" si="16"/>
        <v>1.1797752808988765E-3</v>
      </c>
      <c r="V48" s="220">
        <f>11+1+1+7+11+4+4.7+7.6+10+17.4+11.4</f>
        <v>86.100000000000009</v>
      </c>
      <c r="W48" s="222">
        <f>'[2]1'!AR54+'[2]2'!AR54+'[2]3'!AR54</f>
        <v>0</v>
      </c>
      <c r="X48" s="344">
        <f t="shared" si="20"/>
        <v>0</v>
      </c>
      <c r="Y48" s="223"/>
      <c r="Z48" s="223"/>
      <c r="AA48" s="218">
        <v>27</v>
      </c>
      <c r="AB48" s="223">
        <v>1</v>
      </c>
      <c r="AC48" s="223" t="s">
        <v>83</v>
      </c>
      <c r="AD48" s="218">
        <v>28</v>
      </c>
      <c r="AE48" s="220">
        <v>3310.2</v>
      </c>
      <c r="AF48" s="223">
        <v>5</v>
      </c>
      <c r="AG48" s="224">
        <f t="shared" si="10"/>
        <v>96</v>
      </c>
      <c r="AH48" s="223">
        <v>0</v>
      </c>
      <c r="AI48" s="222">
        <f t="shared" si="11"/>
        <v>96</v>
      </c>
      <c r="AJ48" s="222">
        <f t="shared" si="12"/>
        <v>275.84999999999997</v>
      </c>
      <c r="AK48" s="223">
        <f>8*5*60</f>
        <v>2400</v>
      </c>
      <c r="AL48" s="223"/>
      <c r="AM48" s="220">
        <v>153.15</v>
      </c>
      <c r="AN48" s="220">
        <v>10.199999999999999</v>
      </c>
      <c r="AO48" s="247">
        <v>22</v>
      </c>
      <c r="AP48" s="223" t="s">
        <v>83</v>
      </c>
      <c r="AQ48" s="223">
        <v>12</v>
      </c>
      <c r="AR48" s="223"/>
      <c r="AS48" s="223" t="s">
        <v>83</v>
      </c>
      <c r="AT48" s="225">
        <v>12</v>
      </c>
      <c r="AU48" s="226"/>
      <c r="AV48" s="227"/>
      <c r="AW48" s="227"/>
      <c r="AX48" s="227"/>
      <c r="AY48" s="228"/>
    </row>
    <row r="49" spans="1:51" ht="26.25">
      <c r="A49" s="212">
        <v>8</v>
      </c>
      <c r="B49" s="213">
        <v>0</v>
      </c>
      <c r="C49" s="213">
        <v>0</v>
      </c>
      <c r="D49" s="214">
        <v>140</v>
      </c>
      <c r="E49" s="32"/>
      <c r="F49" s="338">
        <f t="shared" si="17"/>
        <v>392</v>
      </c>
      <c r="G49" s="338">
        <f t="shared" si="13"/>
        <v>0.39200000000000002</v>
      </c>
      <c r="H49" s="339">
        <f>('[2]1'!AM55+'[2]2'!AM55)/4</f>
        <v>0</v>
      </c>
      <c r="I49" s="339">
        <f>('[2]1'!AN55+'[2]2'!AN55)/4</f>
        <v>0</v>
      </c>
      <c r="J49" s="339">
        <f>('[2]1'!AO55+'[2]2'!AO55)/4</f>
        <v>0</v>
      </c>
      <c r="K49" s="339">
        <f>(H49*I49*J49)/10000</f>
        <v>0</v>
      </c>
      <c r="L49" s="348">
        <f t="shared" si="14"/>
        <v>224</v>
      </c>
      <c r="M49" s="217">
        <v>0</v>
      </c>
      <c r="N49" s="349">
        <f t="shared" si="8"/>
        <v>224</v>
      </c>
      <c r="O49" s="342">
        <f t="shared" si="15"/>
        <v>571.42857142857144</v>
      </c>
      <c r="P49" s="342">
        <f t="shared" si="19"/>
        <v>1.6</v>
      </c>
      <c r="Q49" s="218">
        <f>'[2]1'!F55+'[2]2'!F55+'[2]3'!F55+'[2]10K'!F55</f>
        <v>0</v>
      </c>
      <c r="R49" s="218">
        <f>'[2]1'!AA55+'[2]2'!AA55+'[2]3'!AA55</f>
        <v>0</v>
      </c>
      <c r="S49" s="219" t="e">
        <f t="shared" si="9"/>
        <v>#DIV/0!</v>
      </c>
      <c r="T49" s="248">
        <f>0.5+0.5</f>
        <v>1</v>
      </c>
      <c r="U49" s="350">
        <f t="shared" si="16"/>
        <v>2.5510204081632651E-3</v>
      </c>
      <c r="V49" s="248">
        <f>11+4+11+7.5</f>
        <v>33.5</v>
      </c>
      <c r="W49" s="222">
        <f>'[2]1'!AR55+'[2]2'!AR55+'[2]3'!AR55</f>
        <v>0</v>
      </c>
      <c r="X49" s="344">
        <f t="shared" si="20"/>
        <v>0</v>
      </c>
      <c r="Y49" s="214"/>
      <c r="Z49" s="214"/>
      <c r="AA49" s="249">
        <v>28</v>
      </c>
      <c r="AB49" s="249"/>
      <c r="AC49" s="214">
        <v>0</v>
      </c>
      <c r="AD49" s="218">
        <v>28</v>
      </c>
      <c r="AE49" s="248">
        <v>0</v>
      </c>
      <c r="AF49" s="249">
        <v>0</v>
      </c>
      <c r="AG49" s="224">
        <f t="shared" si="10"/>
        <v>88</v>
      </c>
      <c r="AH49" s="250">
        <v>0</v>
      </c>
      <c r="AI49" s="222">
        <f t="shared" si="11"/>
        <v>88</v>
      </c>
      <c r="AJ49" s="251">
        <f t="shared" si="12"/>
        <v>0</v>
      </c>
      <c r="AK49" s="249">
        <v>0</v>
      </c>
      <c r="AL49" s="249"/>
      <c r="AM49" s="248">
        <v>0</v>
      </c>
      <c r="AN49" s="248">
        <v>0</v>
      </c>
      <c r="AO49" s="252">
        <v>0</v>
      </c>
      <c r="AP49" s="214" t="s">
        <v>83</v>
      </c>
      <c r="AQ49" s="249">
        <v>11</v>
      </c>
      <c r="AR49" s="249">
        <v>1</v>
      </c>
      <c r="AS49" s="214" t="s">
        <v>83</v>
      </c>
      <c r="AT49" s="253">
        <v>12</v>
      </c>
      <c r="AU49" s="226"/>
      <c r="AV49" s="227"/>
      <c r="AW49" s="227"/>
      <c r="AX49" s="227"/>
      <c r="AY49" s="228"/>
    </row>
    <row r="50" spans="1:51" ht="26.25">
      <c r="A50" s="229">
        <v>9</v>
      </c>
      <c r="B50" s="230"/>
      <c r="C50" s="230"/>
      <c r="D50" s="235"/>
      <c r="E50" s="232"/>
      <c r="F50" s="232">
        <f t="shared" si="17"/>
        <v>0</v>
      </c>
      <c r="G50" s="232">
        <f t="shared" si="13"/>
        <v>0</v>
      </c>
      <c r="H50" s="233"/>
      <c r="I50" s="233"/>
      <c r="J50" s="233"/>
      <c r="K50" s="233"/>
      <c r="L50" s="234">
        <f t="shared" si="14"/>
        <v>0</v>
      </c>
      <c r="M50" s="259"/>
      <c r="N50" s="235">
        <f t="shared" si="8"/>
        <v>0</v>
      </c>
      <c r="O50" s="240"/>
      <c r="P50" s="240"/>
      <c r="Q50" s="236">
        <f>'[2]1'!F56+'[2]2'!F56+'[2]3'!F56+'[2]10K'!F56</f>
        <v>0</v>
      </c>
      <c r="R50" s="236">
        <f>'[2]1'!AA56+'[2]2'!AA56+'[2]3'!AA56</f>
        <v>0</v>
      </c>
      <c r="S50" s="237"/>
      <c r="T50" s="238"/>
      <c r="U50" s="239" t="e">
        <f t="shared" si="16"/>
        <v>#DIV/0!</v>
      </c>
      <c r="V50" s="238"/>
      <c r="W50" s="240">
        <f>'[2]1'!AR56+'[2]2'!AR56+'[2]3'!AR56</f>
        <v>0</v>
      </c>
      <c r="X50" s="351" t="e">
        <f t="shared" si="20"/>
        <v>#DIV/0!</v>
      </c>
      <c r="Y50" s="241"/>
      <c r="Z50" s="241"/>
      <c r="AA50" s="236"/>
      <c r="AB50" s="241"/>
      <c r="AC50" s="241" t="s">
        <v>83</v>
      </c>
      <c r="AD50" s="241">
        <v>28</v>
      </c>
      <c r="AE50" s="238"/>
      <c r="AF50" s="241"/>
      <c r="AG50" s="242">
        <f t="shared" si="10"/>
        <v>0</v>
      </c>
      <c r="AH50" s="238"/>
      <c r="AI50" s="240">
        <f t="shared" si="11"/>
        <v>0</v>
      </c>
      <c r="AJ50" s="240"/>
      <c r="AK50" s="241"/>
      <c r="AL50" s="241"/>
      <c r="AM50" s="238"/>
      <c r="AN50" s="238"/>
      <c r="AO50" s="352"/>
      <c r="AP50" s="241" t="s">
        <v>83</v>
      </c>
      <c r="AQ50" s="241"/>
      <c r="AR50" s="241"/>
      <c r="AS50" s="241" t="s">
        <v>83</v>
      </c>
      <c r="AT50" s="243">
        <v>12</v>
      </c>
      <c r="AU50" s="244"/>
      <c r="AV50" s="245"/>
      <c r="AW50" s="245"/>
      <c r="AX50" s="245"/>
      <c r="AY50" s="246"/>
    </row>
    <row r="51" spans="1:51" ht="26.25">
      <c r="A51" s="212">
        <v>10</v>
      </c>
      <c r="B51" s="213">
        <v>420</v>
      </c>
      <c r="C51" s="213">
        <v>1300</v>
      </c>
      <c r="D51" s="32">
        <v>420</v>
      </c>
      <c r="E51" s="32">
        <f>1300+100</f>
        <v>1400</v>
      </c>
      <c r="F51" s="338">
        <f t="shared" si="17"/>
        <v>3976</v>
      </c>
      <c r="G51" s="338">
        <f t="shared" si="13"/>
        <v>3.976</v>
      </c>
      <c r="H51" s="339">
        <f>('[2]1'!AM57+'[2]2'!AM57+'[2]3'!AM57)/4</f>
        <v>0</v>
      </c>
      <c r="I51" s="339">
        <f>('[2]1'!AN57+'[2]2'!AN57+'[2]3'!AN57)/4</f>
        <v>0</v>
      </c>
      <c r="J51" s="339">
        <f>('[2]1'!AO57+'[2]2'!AO57+'[2]3'!AO57)/4</f>
        <v>0</v>
      </c>
      <c r="K51" s="339">
        <f t="shared" si="18"/>
        <v>0</v>
      </c>
      <c r="L51" s="348">
        <f t="shared" si="14"/>
        <v>224</v>
      </c>
      <c r="M51" s="217">
        <v>99.4</v>
      </c>
      <c r="N51" s="341">
        <f t="shared" si="8"/>
        <v>323.39999999999998</v>
      </c>
      <c r="O51" s="342">
        <f t="shared" si="15"/>
        <v>81.338028169014081</v>
      </c>
      <c r="P51" s="342">
        <f t="shared" si="19"/>
        <v>0.12307692307692308</v>
      </c>
      <c r="Q51" s="218">
        <f>'[2]1'!F57+'[2]2'!F57+'[2]3'!F57+'[2]10K'!F57</f>
        <v>0</v>
      </c>
      <c r="R51" s="218">
        <f>'[2]1'!AA57+'[2]2'!AA57+'[2]3'!AA57</f>
        <v>0</v>
      </c>
      <c r="S51" s="219" t="e">
        <f t="shared" si="9"/>
        <v>#DIV/0!</v>
      </c>
      <c r="T51" s="222">
        <f>1.3+1.3+0.5</f>
        <v>3.1</v>
      </c>
      <c r="U51" s="343">
        <f t="shared" si="16"/>
        <v>7.7967806841046285E-4</v>
      </c>
      <c r="V51" s="222">
        <f>44+9+2+55+2.7+5+104.4+9.1+13.4</f>
        <v>244.60000000000002</v>
      </c>
      <c r="W51" s="222">
        <f>'[2]1'!AR57+'[2]2'!AR57+'[2]3'!AR57</f>
        <v>0</v>
      </c>
      <c r="X51" s="344">
        <f t="shared" si="20"/>
        <v>0</v>
      </c>
      <c r="Y51" s="255"/>
      <c r="Z51" s="223"/>
      <c r="AA51" s="218">
        <v>28</v>
      </c>
      <c r="AB51" s="218"/>
      <c r="AC51" s="218" t="s">
        <v>83</v>
      </c>
      <c r="AD51" s="218">
        <v>28</v>
      </c>
      <c r="AE51" s="222">
        <v>2895.6</v>
      </c>
      <c r="AF51" s="218">
        <v>4</v>
      </c>
      <c r="AG51" s="224">
        <f t="shared" si="10"/>
        <v>96</v>
      </c>
      <c r="AH51" s="218">
        <v>0</v>
      </c>
      <c r="AI51" s="222">
        <f t="shared" si="11"/>
        <v>96</v>
      </c>
      <c r="AJ51" s="222">
        <f t="shared" ref="AJ51:AJ56" si="21">AE51/AQ51</f>
        <v>241.29999999999998</v>
      </c>
      <c r="AK51" s="218">
        <f>8*4*60</f>
        <v>1920</v>
      </c>
      <c r="AL51" s="218"/>
      <c r="AM51" s="222">
        <v>135.80000000000001</v>
      </c>
      <c r="AN51" s="222">
        <v>14.4</v>
      </c>
      <c r="AO51" s="256">
        <v>6</v>
      </c>
      <c r="AP51" s="218" t="s">
        <v>83</v>
      </c>
      <c r="AQ51" s="218">
        <v>12</v>
      </c>
      <c r="AR51" s="218"/>
      <c r="AS51" s="218" t="s">
        <v>83</v>
      </c>
      <c r="AT51" s="257">
        <v>12</v>
      </c>
      <c r="AU51" s="226"/>
      <c r="AV51" s="227"/>
      <c r="AW51" s="227"/>
      <c r="AX51" s="227"/>
      <c r="AY51" s="228"/>
    </row>
    <row r="52" spans="1:51" ht="26.25">
      <c r="A52" s="212">
        <v>11</v>
      </c>
      <c r="B52" s="213">
        <v>420</v>
      </c>
      <c r="C52" s="213">
        <f>500+800+100+50+150</f>
        <v>1600</v>
      </c>
      <c r="D52" s="32">
        <v>350</v>
      </c>
      <c r="E52" s="32">
        <f>100+50+150+900+500</f>
        <v>1700</v>
      </c>
      <c r="F52" s="338">
        <f t="shared" si="17"/>
        <v>4380</v>
      </c>
      <c r="G52" s="338">
        <f t="shared" si="13"/>
        <v>4.38</v>
      </c>
      <c r="H52" s="339">
        <f>('[2]1'!AM58+'[2]2'!AM58+'[2]3'!AM58+'[2]10K'!AM58)/4</f>
        <v>0</v>
      </c>
      <c r="I52" s="339">
        <f>('[2]1'!AN58+'[2]2'!AN58+'[2]3'!AN58+'[2]10K'!AN58)/4</f>
        <v>0</v>
      </c>
      <c r="J52" s="339">
        <f>('[2]1'!AO58+'[2]2'!AO58+'[2]3'!AO58+'[2]10K'!AO58)/4</f>
        <v>0</v>
      </c>
      <c r="K52" s="339">
        <f t="shared" si="18"/>
        <v>0</v>
      </c>
      <c r="L52" s="348">
        <f t="shared" si="14"/>
        <v>224</v>
      </c>
      <c r="M52" s="217">
        <v>92</v>
      </c>
      <c r="N52" s="341">
        <f t="shared" si="8"/>
        <v>316</v>
      </c>
      <c r="O52" s="342">
        <f t="shared" si="15"/>
        <v>72.146118721461193</v>
      </c>
      <c r="P52" s="342">
        <f t="shared" si="19"/>
        <v>0.10926829268292683</v>
      </c>
      <c r="Q52" s="218">
        <f>'[2]1'!F58+'[2]2'!F58+'[2]3'!F58+'[2]10K'!F58</f>
        <v>0</v>
      </c>
      <c r="R52" s="218">
        <f>'[2]1'!AA58+'[2]2'!AA58+'[2]3'!AA58</f>
        <v>0</v>
      </c>
      <c r="S52" s="219" t="e">
        <f t="shared" si="9"/>
        <v>#DIV/0!</v>
      </c>
      <c r="T52" s="222">
        <f>0.5+0.7+0.1+1.2+1.1</f>
        <v>3.6</v>
      </c>
      <c r="U52" s="343">
        <f t="shared" si="16"/>
        <v>8.2191780821917813E-4</v>
      </c>
      <c r="V52" s="222">
        <f>33+6+44+4+104.4+4+8.4+12.4+15+6</f>
        <v>237.20000000000002</v>
      </c>
      <c r="W52" s="222">
        <f>'[2]1'!AR58+'[2]2'!AR58+'[2]3'!AR58</f>
        <v>0</v>
      </c>
      <c r="X52" s="344">
        <f t="shared" si="20"/>
        <v>0</v>
      </c>
      <c r="Y52" s="255"/>
      <c r="Z52" s="255"/>
      <c r="AA52" s="218">
        <v>28</v>
      </c>
      <c r="AB52" s="218"/>
      <c r="AC52" s="222" t="s">
        <v>83</v>
      </c>
      <c r="AD52" s="218">
        <v>28</v>
      </c>
      <c r="AE52" s="222">
        <f>2870.4+1799.4</f>
        <v>4669.8</v>
      </c>
      <c r="AF52" s="218">
        <v>4</v>
      </c>
      <c r="AG52" s="224">
        <f t="shared" si="10"/>
        <v>96</v>
      </c>
      <c r="AH52" s="222">
        <v>56</v>
      </c>
      <c r="AI52" s="222">
        <f t="shared" si="11"/>
        <v>152</v>
      </c>
      <c r="AJ52" s="222">
        <f t="shared" si="21"/>
        <v>389.15000000000003</v>
      </c>
      <c r="AK52" s="218">
        <f>8*4*60</f>
        <v>1920</v>
      </c>
      <c r="AL52" s="218"/>
      <c r="AM52" s="222">
        <f>132.6+77.5</f>
        <v>210.1</v>
      </c>
      <c r="AN52" s="222">
        <f>8.1+15</f>
        <v>23.1</v>
      </c>
      <c r="AO52" s="258">
        <f>6+8</f>
        <v>14</v>
      </c>
      <c r="AP52" s="222" t="s">
        <v>83</v>
      </c>
      <c r="AQ52" s="218">
        <v>12</v>
      </c>
      <c r="AR52" s="218"/>
      <c r="AS52" s="222" t="s">
        <v>83</v>
      </c>
      <c r="AT52" s="257">
        <v>12</v>
      </c>
      <c r="AU52" s="226"/>
      <c r="AV52" s="227"/>
      <c r="AW52" s="227"/>
      <c r="AX52" s="227"/>
      <c r="AY52" s="228"/>
    </row>
    <row r="53" spans="1:51" ht="26.25">
      <c r="A53" s="212">
        <v>12</v>
      </c>
      <c r="B53" s="213">
        <v>420</v>
      </c>
      <c r="C53" s="213">
        <v>1000</v>
      </c>
      <c r="D53" s="32">
        <f>70+350</f>
        <v>420</v>
      </c>
      <c r="E53" s="32">
        <f>1000+500</f>
        <v>1500</v>
      </c>
      <c r="F53" s="338">
        <f t="shared" si="17"/>
        <v>4176</v>
      </c>
      <c r="G53" s="338">
        <f t="shared" si="13"/>
        <v>4.1760000000000002</v>
      </c>
      <c r="H53" s="339">
        <f>('[2]1'!AM59+'[2]2'!AM59+'[2]3'!AM59)/4</f>
        <v>0</v>
      </c>
      <c r="I53" s="339">
        <f>('[2]1'!AN59+'[2]2'!AN59+'[2]3'!AN59)/4</f>
        <v>0</v>
      </c>
      <c r="J53" s="339">
        <f>('[2]1'!AO59+'[2]2'!AO59+'[2]3'!AO59)/4</f>
        <v>0</v>
      </c>
      <c r="K53" s="339">
        <f t="shared" si="18"/>
        <v>0</v>
      </c>
      <c r="L53" s="348">
        <f>AA53*8</f>
        <v>208</v>
      </c>
      <c r="M53" s="217">
        <v>92</v>
      </c>
      <c r="N53" s="341">
        <f t="shared" si="8"/>
        <v>300</v>
      </c>
      <c r="O53" s="342">
        <f t="shared" si="15"/>
        <v>71.839080459770116</v>
      </c>
      <c r="P53" s="342">
        <f t="shared" si="19"/>
        <v>0.10833333333333334</v>
      </c>
      <c r="Q53" s="218">
        <f>'[2]1'!F59+'[2]2'!F59+'[2]3'!F59+'[2]10K'!F59</f>
        <v>0</v>
      </c>
      <c r="R53" s="218">
        <f>'[2]1'!AA59+'[2]2'!AA59+'[2]3'!AA59</f>
        <v>0</v>
      </c>
      <c r="S53" s="219" t="e">
        <f t="shared" si="9"/>
        <v>#DIV/0!</v>
      </c>
      <c r="T53" s="222">
        <f>0.1+0.1+0.2+0.1+0.8+0.9</f>
        <v>2.2000000000000002</v>
      </c>
      <c r="U53" s="343">
        <f t="shared" si="16"/>
        <v>5.2681992337164757E-4</v>
      </c>
      <c r="V53" s="222">
        <f>44+2.2+2.1+55+5.5+2+104.4+16.4+13.6</f>
        <v>245.20000000000002</v>
      </c>
      <c r="W53" s="222">
        <f>'[2]1'!AR59+'[2]2'!AR59+'[2]3'!AR59</f>
        <v>0</v>
      </c>
      <c r="X53" s="344">
        <f t="shared" si="20"/>
        <v>0</v>
      </c>
      <c r="Y53" s="223"/>
      <c r="Z53" s="223"/>
      <c r="AA53" s="218">
        <v>26</v>
      </c>
      <c r="AB53" s="218">
        <v>2</v>
      </c>
      <c r="AC53" s="222" t="s">
        <v>83</v>
      </c>
      <c r="AD53" s="218">
        <v>28</v>
      </c>
      <c r="AE53" s="222">
        <f>4150.8+390.6</f>
        <v>4541.4000000000005</v>
      </c>
      <c r="AF53" s="218">
        <v>4</v>
      </c>
      <c r="AG53" s="224">
        <f t="shared" si="10"/>
        <v>96</v>
      </c>
      <c r="AH53" s="222">
        <v>50.4</v>
      </c>
      <c r="AI53" s="222">
        <f t="shared" si="11"/>
        <v>146.4</v>
      </c>
      <c r="AJ53" s="222">
        <f t="shared" si="21"/>
        <v>378.45000000000005</v>
      </c>
      <c r="AK53" s="218">
        <f>13*4*60</f>
        <v>3120</v>
      </c>
      <c r="AL53" s="218"/>
      <c r="AM53" s="222">
        <f>191.15+17.9</f>
        <v>209.05</v>
      </c>
      <c r="AN53" s="222">
        <f>15.9+1.7</f>
        <v>17.600000000000001</v>
      </c>
      <c r="AO53" s="222">
        <f>12+6</f>
        <v>18</v>
      </c>
      <c r="AP53" s="222" t="s">
        <v>83</v>
      </c>
      <c r="AQ53" s="218">
        <v>12</v>
      </c>
      <c r="AR53" s="218"/>
      <c r="AS53" s="222" t="s">
        <v>83</v>
      </c>
      <c r="AT53" s="257">
        <v>12</v>
      </c>
      <c r="AU53" s="226"/>
      <c r="AV53" s="227"/>
      <c r="AW53" s="227"/>
      <c r="AX53" s="227"/>
      <c r="AY53" s="228"/>
    </row>
    <row r="54" spans="1:51" ht="26.25">
      <c r="A54" s="212">
        <v>13</v>
      </c>
      <c r="B54" s="213">
        <v>420</v>
      </c>
      <c r="C54" s="213">
        <v>1000</v>
      </c>
      <c r="D54" s="32">
        <f>70+420+70</f>
        <v>560</v>
      </c>
      <c r="E54" s="32">
        <f>500+200+200+100</f>
        <v>1000</v>
      </c>
      <c r="F54" s="338">
        <f t="shared" si="17"/>
        <v>3568</v>
      </c>
      <c r="G54" s="338">
        <f t="shared" si="13"/>
        <v>3.5680000000000001</v>
      </c>
      <c r="H54" s="339">
        <f>('[2]1'!AM60+'[2]2'!AM60+'[2]3'!AM60+'[2]10K'!AM60)/4</f>
        <v>0</v>
      </c>
      <c r="I54" s="339">
        <f>('[2]1'!AN60+'[2]2'!AN60+'[2]3'!AN60+'[2]10K'!AN60)/4</f>
        <v>0</v>
      </c>
      <c r="J54" s="339">
        <f>('[2]1'!AO60+'[2]2'!AO60+'[2]3'!AO60+'[2]10K'!AO60)/4</f>
        <v>0</v>
      </c>
      <c r="K54" s="339">
        <f t="shared" si="18"/>
        <v>0</v>
      </c>
      <c r="L54" s="348">
        <f t="shared" si="14"/>
        <v>224</v>
      </c>
      <c r="M54" s="217">
        <v>124</v>
      </c>
      <c r="N54" s="341">
        <f t="shared" si="8"/>
        <v>348</v>
      </c>
      <c r="O54" s="353">
        <f t="shared" si="15"/>
        <v>97.533632286995513</v>
      </c>
      <c r="P54" s="342">
        <f t="shared" si="19"/>
        <v>0.14358974358974358</v>
      </c>
      <c r="Q54" s="218">
        <f>'[2]1'!F60+'[2]2'!F60+'[2]3'!F60+'[2]10K'!F60</f>
        <v>0</v>
      </c>
      <c r="R54" s="218">
        <f>'[2]1'!AA60+'[2]2'!AA60+'[2]3'!AA60</f>
        <v>0</v>
      </c>
      <c r="S54" s="219" t="e">
        <f t="shared" si="9"/>
        <v>#DIV/0!</v>
      </c>
      <c r="T54" s="222">
        <f>0.2+0.5+1.1+0.5+0.2+0.3</f>
        <v>2.8</v>
      </c>
      <c r="U54" s="343">
        <f t="shared" si="16"/>
        <v>7.8475336322869952E-4</v>
      </c>
      <c r="V54" s="222">
        <f>22+1.4+1+44+2.8+10+4+33+10.7+69.6+6.6+2+1.9+8</f>
        <v>217</v>
      </c>
      <c r="W54" s="222">
        <f>'[2]1'!AR60+'[2]2'!AR60+'[2]3'!AR60</f>
        <v>0</v>
      </c>
      <c r="X54" s="344">
        <f t="shared" si="20"/>
        <v>0</v>
      </c>
      <c r="Y54" s="223"/>
      <c r="Z54" s="223"/>
      <c r="AA54" s="218">
        <v>28</v>
      </c>
      <c r="AB54" s="218"/>
      <c r="AC54" s="222" t="s">
        <v>83</v>
      </c>
      <c r="AD54" s="218">
        <v>28</v>
      </c>
      <c r="AE54" s="222">
        <v>1698.2</v>
      </c>
      <c r="AF54" s="218">
        <v>5</v>
      </c>
      <c r="AG54" s="224">
        <f t="shared" si="10"/>
        <v>96</v>
      </c>
      <c r="AH54" s="222">
        <v>36</v>
      </c>
      <c r="AI54" s="222">
        <f t="shared" si="11"/>
        <v>132</v>
      </c>
      <c r="AJ54" s="222">
        <f t="shared" si="21"/>
        <v>141.51666666666668</v>
      </c>
      <c r="AK54" s="218">
        <f>8*60*5</f>
        <v>2400</v>
      </c>
      <c r="AL54" s="218"/>
      <c r="AM54" s="222">
        <v>80</v>
      </c>
      <c r="AN54" s="222">
        <v>8.1</v>
      </c>
      <c r="AO54" s="222">
        <v>0</v>
      </c>
      <c r="AP54" s="222" t="s">
        <v>83</v>
      </c>
      <c r="AQ54" s="218">
        <v>12</v>
      </c>
      <c r="AR54" s="218"/>
      <c r="AS54" s="222" t="s">
        <v>83</v>
      </c>
      <c r="AT54" s="257">
        <v>12</v>
      </c>
      <c r="AU54" s="226"/>
      <c r="AV54" s="227"/>
      <c r="AW54" s="227"/>
      <c r="AX54" s="227"/>
      <c r="AY54" s="228"/>
    </row>
    <row r="55" spans="1:51" ht="26.25">
      <c r="A55" s="212">
        <v>14</v>
      </c>
      <c r="B55" s="213">
        <v>600</v>
      </c>
      <c r="C55" s="213">
        <v>800</v>
      </c>
      <c r="D55" s="32">
        <f>330+140</f>
        <v>470</v>
      </c>
      <c r="E55" s="32">
        <f>100+200+400</f>
        <v>700</v>
      </c>
      <c r="F55" s="338">
        <f t="shared" si="17"/>
        <v>2716</v>
      </c>
      <c r="G55" s="338">
        <f t="shared" si="13"/>
        <v>2.7160000000000002</v>
      </c>
      <c r="H55" s="339">
        <f>('[2]1'!AM61+'[2]2'!AM61+'[2]3'!AM61+'[2]10K'!AM61)/4</f>
        <v>0</v>
      </c>
      <c r="I55" s="339">
        <f>('[2]1'!AN61+'[2]2'!AN61+'[2]3'!AN61+'[2]10K'!AN61)/4</f>
        <v>0</v>
      </c>
      <c r="J55" s="339">
        <f>('[2]1'!AO61+'[2]2'!AO61+'[2]3'!AO61+'[2]10K'!AO61)/4</f>
        <v>0</v>
      </c>
      <c r="K55" s="339">
        <f t="shared" si="18"/>
        <v>0</v>
      </c>
      <c r="L55" s="348">
        <f t="shared" si="14"/>
        <v>224</v>
      </c>
      <c r="M55" s="217">
        <v>0</v>
      </c>
      <c r="N55" s="341">
        <f t="shared" si="8"/>
        <v>224</v>
      </c>
      <c r="O55" s="353">
        <f t="shared" si="15"/>
        <v>82.474226804123703</v>
      </c>
      <c r="P55" s="342">
        <f t="shared" si="19"/>
        <v>0.19145299145299147</v>
      </c>
      <c r="Q55" s="218">
        <f>'[2]1'!F61+'[2]2'!F61+'[2]3'!F61+'[2]10K'!F61</f>
        <v>0</v>
      </c>
      <c r="R55" s="218">
        <f>'[2]1'!AA61+'[2]2'!AA61+'[2]3'!AA61</f>
        <v>0</v>
      </c>
      <c r="S55" s="219" t="e">
        <f t="shared" si="9"/>
        <v>#DIV/0!</v>
      </c>
      <c r="T55" s="222">
        <f>0.3+0.6+0.3+0.4+0.7+0.1+0.1</f>
        <v>2.5</v>
      </c>
      <c r="U55" s="343">
        <f t="shared" si="16"/>
        <v>9.2047128129602355E-4</v>
      </c>
      <c r="V55" s="222">
        <f>11+10.5+10+33+3.5+1+33+8+4+1.4+34.8</f>
        <v>150.19999999999999</v>
      </c>
      <c r="W55" s="222">
        <f>'[2]1'!AR61+'[2]2'!AR61+'[2]3'!AR61</f>
        <v>0</v>
      </c>
      <c r="X55" s="344">
        <f t="shared" si="20"/>
        <v>0</v>
      </c>
      <c r="Y55" s="223"/>
      <c r="Z55" s="223"/>
      <c r="AA55" s="218">
        <v>28</v>
      </c>
      <c r="AB55" s="218"/>
      <c r="AC55" s="222" t="s">
        <v>83</v>
      </c>
      <c r="AD55" s="218">
        <v>28</v>
      </c>
      <c r="AE55" s="222">
        <v>2772</v>
      </c>
      <c r="AF55" s="218">
        <v>5</v>
      </c>
      <c r="AG55" s="224">
        <f t="shared" si="10"/>
        <v>96</v>
      </c>
      <c r="AH55" s="222">
        <v>0</v>
      </c>
      <c r="AI55" s="222">
        <f t="shared" si="11"/>
        <v>96</v>
      </c>
      <c r="AJ55" s="222">
        <f t="shared" si="21"/>
        <v>231</v>
      </c>
      <c r="AK55" s="218">
        <f>8*60*5</f>
        <v>2400</v>
      </c>
      <c r="AL55" s="218"/>
      <c r="AM55" s="222">
        <v>130.65</v>
      </c>
      <c r="AN55" s="222">
        <v>11.8</v>
      </c>
      <c r="AO55" s="222">
        <v>12</v>
      </c>
      <c r="AP55" s="222" t="s">
        <v>83</v>
      </c>
      <c r="AQ55" s="218">
        <v>12</v>
      </c>
      <c r="AR55" s="218"/>
      <c r="AS55" s="222" t="s">
        <v>83</v>
      </c>
      <c r="AT55" s="257">
        <v>12</v>
      </c>
      <c r="AU55" s="226"/>
      <c r="AV55" s="227"/>
      <c r="AW55" s="227"/>
      <c r="AX55" s="227"/>
      <c r="AY55" s="228"/>
    </row>
    <row r="56" spans="1:51" ht="26.25">
      <c r="A56" s="212">
        <v>15</v>
      </c>
      <c r="B56" s="213"/>
      <c r="C56" s="213">
        <v>700</v>
      </c>
      <c r="D56" s="32">
        <v>60</v>
      </c>
      <c r="E56" s="32">
        <v>300</v>
      </c>
      <c r="F56" s="338">
        <f t="shared" si="17"/>
        <v>768</v>
      </c>
      <c r="G56" s="338">
        <f t="shared" si="13"/>
        <v>0.76800000000000002</v>
      </c>
      <c r="H56" s="339">
        <f>('[2]1'!AM62+'[2]2'!AM62+'[2]3'!AM62)/4</f>
        <v>0</v>
      </c>
      <c r="I56" s="339">
        <f>('[2]1'!AN62+'[2]2'!AN62+'[2]3'!AN62)/4</f>
        <v>0</v>
      </c>
      <c r="J56" s="339">
        <f>('[2]1'!AO62+'[2]2'!AO62+'[2]3'!AO62)/4</f>
        <v>0</v>
      </c>
      <c r="K56" s="339">
        <f t="shared" si="18"/>
        <v>0</v>
      </c>
      <c r="L56" s="348">
        <f t="shared" si="14"/>
        <v>224</v>
      </c>
      <c r="M56" s="217"/>
      <c r="N56" s="341">
        <f t="shared" si="8"/>
        <v>224</v>
      </c>
      <c r="O56" s="342">
        <f t="shared" si="15"/>
        <v>291.66666666666669</v>
      </c>
      <c r="P56" s="342">
        <f>L56/(D56+E56)</f>
        <v>0.62222222222222223</v>
      </c>
      <c r="Q56" s="218">
        <f>'[2]1'!F62+'[2]2'!F62+'[2]3'!F62+'[2]10K'!F62</f>
        <v>0</v>
      </c>
      <c r="R56" s="218">
        <f>'[2]1'!AA62+'[2]2'!AA62+'[2]3'!AA62</f>
        <v>0</v>
      </c>
      <c r="S56" s="219" t="e">
        <f t="shared" si="9"/>
        <v>#DIV/0!</v>
      </c>
      <c r="T56" s="222">
        <f>0.1+0.1+0.3</f>
        <v>0.5</v>
      </c>
      <c r="U56" s="343">
        <f t="shared" si="16"/>
        <v>6.5104166666666663E-4</v>
      </c>
      <c r="V56" s="222">
        <f>4.8+5.6+8.4+15.2</f>
        <v>34</v>
      </c>
      <c r="W56" s="222">
        <f>'[2]1'!AR62+'[2]2'!AR62+'[2]3'!AR62</f>
        <v>0</v>
      </c>
      <c r="X56" s="344">
        <f t="shared" si="20"/>
        <v>0</v>
      </c>
      <c r="Y56" s="222"/>
      <c r="Z56" s="222"/>
      <c r="AA56" s="218">
        <v>28</v>
      </c>
      <c r="AB56" s="218"/>
      <c r="AC56" s="222" t="s">
        <v>83</v>
      </c>
      <c r="AD56" s="218">
        <v>28</v>
      </c>
      <c r="AE56" s="222">
        <v>4296.6000000000004</v>
      </c>
      <c r="AF56" s="218">
        <v>5</v>
      </c>
      <c r="AG56" s="224">
        <f t="shared" si="10"/>
        <v>96</v>
      </c>
      <c r="AH56" s="222">
        <v>0</v>
      </c>
      <c r="AI56" s="222">
        <f t="shared" si="11"/>
        <v>96</v>
      </c>
      <c r="AJ56" s="251">
        <f t="shared" si="21"/>
        <v>358.05</v>
      </c>
      <c r="AK56" s="218">
        <f>11*60*5</f>
        <v>3300</v>
      </c>
      <c r="AL56" s="218"/>
      <c r="AM56" s="222">
        <v>207.75</v>
      </c>
      <c r="AN56" s="222">
        <v>18.7</v>
      </c>
      <c r="AO56" s="222">
        <v>24</v>
      </c>
      <c r="AP56" s="222" t="s">
        <v>83</v>
      </c>
      <c r="AQ56" s="218">
        <v>12</v>
      </c>
      <c r="AR56" s="218"/>
      <c r="AS56" s="222" t="s">
        <v>83</v>
      </c>
      <c r="AT56" s="257">
        <v>12</v>
      </c>
      <c r="AU56" s="226"/>
      <c r="AV56" s="227"/>
      <c r="AW56" s="227"/>
      <c r="AX56" s="227"/>
      <c r="AY56" s="228"/>
    </row>
    <row r="57" spans="1:51" ht="26.25">
      <c r="A57" s="229">
        <v>16</v>
      </c>
      <c r="B57" s="230"/>
      <c r="C57" s="230"/>
      <c r="D57" s="232"/>
      <c r="E57" s="232"/>
      <c r="F57" s="232">
        <f t="shared" si="17"/>
        <v>0</v>
      </c>
      <c r="G57" s="232">
        <f t="shared" si="13"/>
        <v>0</v>
      </c>
      <c r="H57" s="233"/>
      <c r="I57" s="233"/>
      <c r="J57" s="233"/>
      <c r="K57" s="233"/>
      <c r="L57" s="234">
        <f t="shared" si="14"/>
        <v>0</v>
      </c>
      <c r="M57" s="259"/>
      <c r="N57" s="232">
        <f t="shared" si="8"/>
        <v>0</v>
      </c>
      <c r="O57" s="240"/>
      <c r="P57" s="275"/>
      <c r="Q57" s="236">
        <f>'[2]1'!F63+'[2]2'!F63+'[2]3'!F63+'[2]10K'!F63</f>
        <v>0</v>
      </c>
      <c r="R57" s="236">
        <f>'[2]1'!AA63+'[2]2'!AA63+'[2]3'!AA63</f>
        <v>0</v>
      </c>
      <c r="S57" s="237"/>
      <c r="T57" s="240"/>
      <c r="U57" s="260"/>
      <c r="V57" s="240"/>
      <c r="W57" s="240">
        <f>'[2]1'!AR63+'[2]2'!AR63+'[2]3'!AR63</f>
        <v>0</v>
      </c>
      <c r="X57" s="351"/>
      <c r="Y57" s="240"/>
      <c r="Z57" s="240"/>
      <c r="AA57" s="236"/>
      <c r="AB57" s="236"/>
      <c r="AC57" s="240" t="s">
        <v>83</v>
      </c>
      <c r="AD57" s="241">
        <v>28</v>
      </c>
      <c r="AE57" s="240"/>
      <c r="AF57" s="236"/>
      <c r="AG57" s="242">
        <f t="shared" si="10"/>
        <v>0</v>
      </c>
      <c r="AH57" s="240"/>
      <c r="AI57" s="240">
        <f t="shared" si="11"/>
        <v>0</v>
      </c>
      <c r="AJ57" s="240"/>
      <c r="AK57" s="236"/>
      <c r="AL57" s="236"/>
      <c r="AM57" s="240"/>
      <c r="AN57" s="240"/>
      <c r="AO57" s="240"/>
      <c r="AP57" s="240" t="s">
        <v>83</v>
      </c>
      <c r="AQ57" s="236"/>
      <c r="AR57" s="236"/>
      <c r="AS57" s="240" t="s">
        <v>83</v>
      </c>
      <c r="AT57" s="261">
        <v>12</v>
      </c>
      <c r="AU57" s="244"/>
      <c r="AV57" s="245"/>
      <c r="AW57" s="245"/>
      <c r="AX57" s="245"/>
      <c r="AY57" s="246"/>
    </row>
    <row r="58" spans="1:51" ht="26.25">
      <c r="A58" s="212">
        <v>17</v>
      </c>
      <c r="B58" s="213">
        <v>420</v>
      </c>
      <c r="C58" s="213">
        <v>1500</v>
      </c>
      <c r="D58" s="32">
        <f>420+140</f>
        <v>560</v>
      </c>
      <c r="E58" s="32">
        <f>1500+100</f>
        <v>1600</v>
      </c>
      <c r="F58" s="338">
        <f t="shared" si="17"/>
        <v>4768</v>
      </c>
      <c r="G58" s="338">
        <f t="shared" si="13"/>
        <v>4.7679999999999998</v>
      </c>
      <c r="H58" s="339">
        <f>('[2]2'!AM64+'[2]3'!AM64+'[2]10K'!AM64)/3</f>
        <v>0</v>
      </c>
      <c r="I58" s="339">
        <f>('[2]2'!AN64+'[2]3'!AN64+'[2]10K'!AN64)/3</f>
        <v>0</v>
      </c>
      <c r="J58" s="339">
        <f>('[2]2'!AO64+'[2]3'!AO64+'[2]10K'!AO64)/3</f>
        <v>0</v>
      </c>
      <c r="K58" s="339">
        <f t="shared" si="18"/>
        <v>0</v>
      </c>
      <c r="L58" s="348">
        <f t="shared" si="14"/>
        <v>256</v>
      </c>
      <c r="M58" s="217">
        <v>102.4</v>
      </c>
      <c r="N58" s="341">
        <f t="shared" si="8"/>
        <v>358.4</v>
      </c>
      <c r="O58" s="342">
        <f t="shared" si="15"/>
        <v>75.167785234899327</v>
      </c>
      <c r="P58" s="342">
        <f>L58/(D58+E58)</f>
        <v>0.11851851851851852</v>
      </c>
      <c r="Q58" s="218">
        <f>'[2]1'!F64+'[2]2'!F64+'[2]3'!F64+'[2]10K'!F64</f>
        <v>0</v>
      </c>
      <c r="R58" s="218">
        <f>'[2]1'!AA64+'[2]2'!AA64+'[2]3'!AA64</f>
        <v>0</v>
      </c>
      <c r="S58" s="219" t="e">
        <f t="shared" si="9"/>
        <v>#DIV/0!</v>
      </c>
      <c r="T58" s="222">
        <f>0.1+0.4+0.3+0.2+0.1</f>
        <v>1.1000000000000001</v>
      </c>
      <c r="U58" s="343">
        <f t="shared" si="16"/>
        <v>2.3070469798657721E-4</v>
      </c>
      <c r="V58" s="222">
        <f>55+3.7+2.5+55+6+7+121.8+1+5.6+15.4</f>
        <v>273</v>
      </c>
      <c r="W58" s="222">
        <f>'[2]1'!AR64+'[2]2'!AR64+'[2]3'!AR64</f>
        <v>0</v>
      </c>
      <c r="X58" s="344">
        <f t="shared" si="20"/>
        <v>0</v>
      </c>
      <c r="Y58" s="222"/>
      <c r="Z58" s="222"/>
      <c r="AA58" s="218">
        <v>32</v>
      </c>
      <c r="AB58" s="218">
        <v>1</v>
      </c>
      <c r="AC58" s="222" t="s">
        <v>83</v>
      </c>
      <c r="AD58" s="218">
        <v>28</v>
      </c>
      <c r="AE58" s="222">
        <v>2760</v>
      </c>
      <c r="AF58" s="218">
        <v>5</v>
      </c>
      <c r="AG58" s="224">
        <f t="shared" si="10"/>
        <v>88</v>
      </c>
      <c r="AH58" s="222">
        <v>0</v>
      </c>
      <c r="AI58" s="222">
        <f t="shared" si="11"/>
        <v>88</v>
      </c>
      <c r="AJ58" s="222">
        <f t="shared" ref="AJ58:AJ68" si="22">AE58/AQ58</f>
        <v>250.90909090909091</v>
      </c>
      <c r="AK58" s="218">
        <f>5*8*60</f>
        <v>2400</v>
      </c>
      <c r="AL58" s="218">
        <f>30+60+30</f>
        <v>120</v>
      </c>
      <c r="AM58" s="222">
        <v>131.80000000000001</v>
      </c>
      <c r="AN58" s="222">
        <v>11.6</v>
      </c>
      <c r="AO58" s="222">
        <v>12</v>
      </c>
      <c r="AP58" s="222" t="s">
        <v>83</v>
      </c>
      <c r="AQ58" s="218">
        <v>11</v>
      </c>
      <c r="AR58" s="218">
        <v>1</v>
      </c>
      <c r="AS58" s="222" t="s">
        <v>83</v>
      </c>
      <c r="AT58" s="257">
        <v>12</v>
      </c>
      <c r="AU58" s="226"/>
      <c r="AV58" s="227"/>
      <c r="AW58" s="227"/>
      <c r="AX58" s="227"/>
      <c r="AY58" s="228"/>
    </row>
    <row r="59" spans="1:51" ht="26.25">
      <c r="A59" s="212">
        <v>18</v>
      </c>
      <c r="B59" s="213">
        <v>420</v>
      </c>
      <c r="C59" s="213">
        <v>1500</v>
      </c>
      <c r="D59" s="32">
        <v>280</v>
      </c>
      <c r="E59" s="32">
        <f>400+500+800</f>
        <v>1700</v>
      </c>
      <c r="F59" s="338">
        <f t="shared" si="17"/>
        <v>4184</v>
      </c>
      <c r="G59" s="338">
        <f t="shared" si="13"/>
        <v>4.1840000000000002</v>
      </c>
      <c r="H59" s="339">
        <f>('[2]2'!AM65+'[2]3'!AM65+'[2]10K'!AM65)/3</f>
        <v>0</v>
      </c>
      <c r="I59" s="339">
        <f>('[2]2'!AN65+'[2]3'!AN65+'[2]10K'!AN65)/3</f>
        <v>0</v>
      </c>
      <c r="J59" s="339">
        <f>('[2]2'!AO65+'[2]3'!AO65+'[2]10K'!AO65)/3</f>
        <v>0</v>
      </c>
      <c r="K59" s="339">
        <f>(H59*I59*J59)/10000</f>
        <v>0</v>
      </c>
      <c r="L59" s="348">
        <f t="shared" si="14"/>
        <v>240</v>
      </c>
      <c r="M59" s="217">
        <v>51.2</v>
      </c>
      <c r="N59" s="341">
        <f t="shared" si="8"/>
        <v>291.2</v>
      </c>
      <c r="O59" s="342">
        <f t="shared" si="15"/>
        <v>69.598470363288712</v>
      </c>
      <c r="P59" s="342">
        <f>L59/(D59+E59)</f>
        <v>0.12121212121212122</v>
      </c>
      <c r="Q59" s="218">
        <f>'[2]1'!F65+'[2]2'!F65+'[2]3'!F65+'[2]10K'!F65</f>
        <v>0</v>
      </c>
      <c r="R59" s="218">
        <f>'[2]1'!AA65+'[2]2'!AA65+'[2]3'!AA65</f>
        <v>0</v>
      </c>
      <c r="S59" s="219" t="e">
        <f>Q59/R59</f>
        <v>#DIV/0!</v>
      </c>
      <c r="T59" s="222">
        <f>0.5+0.4+0.2</f>
        <v>1.1000000000000001</v>
      </c>
      <c r="U59" s="343">
        <f t="shared" si="16"/>
        <v>2.6290630975143406E-4</v>
      </c>
      <c r="V59" s="222">
        <f>33+5.8+33+4.2+1.2+104.4+11.2+8+10+11</f>
        <v>221.8</v>
      </c>
      <c r="W59" s="222">
        <f>'[2]1'!AR65+'[2]2'!AR65+'[2]3'!AR65</f>
        <v>0</v>
      </c>
      <c r="X59" s="344">
        <f t="shared" si="20"/>
        <v>0</v>
      </c>
      <c r="Y59" s="222"/>
      <c r="Z59" s="222"/>
      <c r="AA59" s="218">
        <v>30</v>
      </c>
      <c r="AB59" s="218"/>
      <c r="AC59" s="222" t="s">
        <v>83</v>
      </c>
      <c r="AD59" s="218">
        <v>28</v>
      </c>
      <c r="AE59" s="222">
        <v>617.4</v>
      </c>
      <c r="AF59" s="218">
        <v>5</v>
      </c>
      <c r="AG59" s="224">
        <f t="shared" si="10"/>
        <v>96</v>
      </c>
      <c r="AH59" s="222">
        <v>0</v>
      </c>
      <c r="AI59" s="222">
        <f t="shared" si="11"/>
        <v>96</v>
      </c>
      <c r="AJ59" s="222">
        <f t="shared" si="22"/>
        <v>51.449999999999996</v>
      </c>
      <c r="AK59" s="218">
        <f>8*5*60</f>
        <v>2400</v>
      </c>
      <c r="AL59" s="218"/>
      <c r="AM59" s="222">
        <v>30.75</v>
      </c>
      <c r="AN59" s="222">
        <v>4</v>
      </c>
      <c r="AO59" s="222">
        <v>0</v>
      </c>
      <c r="AP59" s="222" t="s">
        <v>83</v>
      </c>
      <c r="AQ59" s="218">
        <v>12</v>
      </c>
      <c r="AR59" s="218"/>
      <c r="AS59" s="222" t="s">
        <v>83</v>
      </c>
      <c r="AT59" s="257">
        <v>12</v>
      </c>
      <c r="AU59" s="226"/>
      <c r="AV59" s="227"/>
      <c r="AW59" s="227"/>
      <c r="AX59" s="227"/>
      <c r="AY59" s="228"/>
    </row>
    <row r="60" spans="1:51" ht="26.25">
      <c r="A60" s="212">
        <v>19</v>
      </c>
      <c r="B60" s="213">
        <v>420</v>
      </c>
      <c r="C60" s="213">
        <v>1500</v>
      </c>
      <c r="D60" s="32">
        <v>420</v>
      </c>
      <c r="E60" s="32">
        <v>900</v>
      </c>
      <c r="F60" s="338">
        <f t="shared" si="17"/>
        <v>2976</v>
      </c>
      <c r="G60" s="338">
        <f t="shared" si="13"/>
        <v>2.976</v>
      </c>
      <c r="H60" s="339">
        <f>('[2]1'!AM66+'[2]2'!AM66+'[2]3'!AM66+'[2]10K'!AM66)/4</f>
        <v>0</v>
      </c>
      <c r="I60" s="339">
        <f>('[2]1'!AN66+'[2]2'!AN66+'[2]3'!AN66+'[2]10K'!AN66)/4</f>
        <v>0</v>
      </c>
      <c r="J60" s="339">
        <f>('[2]1'!AO66+'[2]2'!AO66+'[2]3'!AO66+'[2]10K'!AO66)/4</f>
        <v>0</v>
      </c>
      <c r="K60" s="339">
        <f t="shared" ref="K60:K72" si="23">(H60*I60*J60)/10000</f>
        <v>0</v>
      </c>
      <c r="L60" s="348">
        <f t="shared" si="14"/>
        <v>240</v>
      </c>
      <c r="M60" s="217">
        <v>0</v>
      </c>
      <c r="N60" s="341">
        <f t="shared" si="8"/>
        <v>240</v>
      </c>
      <c r="O60" s="342">
        <f t="shared" si="15"/>
        <v>80.645161290322577</v>
      </c>
      <c r="P60" s="342">
        <f>L60/(D60+E60)</f>
        <v>0.18181818181818182</v>
      </c>
      <c r="Q60" s="218">
        <f>'[2]1'!F66+'[2]2'!F66+'[2]3'!F66+'[2]10K'!F66</f>
        <v>0</v>
      </c>
      <c r="R60" s="218">
        <f>'[2]1'!AA66+'[2]2'!AA66+'[2]3'!AA66</f>
        <v>0</v>
      </c>
      <c r="S60" s="219" t="e">
        <f t="shared" si="9"/>
        <v>#DIV/0!</v>
      </c>
      <c r="T60" s="222">
        <f>1.1+1.1+0.5+0.2</f>
        <v>2.9000000000000004</v>
      </c>
      <c r="U60" s="343">
        <f t="shared" si="16"/>
        <v>9.7446236559139792E-4</v>
      </c>
      <c r="V60" s="222">
        <f>22+2+33+5.4+33+6.7+9.8+69.6</f>
        <v>181.5</v>
      </c>
      <c r="W60" s="222">
        <f>'[2]1'!AR66+'[2]2'!AR66+'[2]3'!AR66</f>
        <v>0</v>
      </c>
      <c r="X60" s="344">
        <f t="shared" si="20"/>
        <v>0</v>
      </c>
      <c r="Y60" s="222"/>
      <c r="Z60" s="222"/>
      <c r="AA60" s="218">
        <v>30</v>
      </c>
      <c r="AB60" s="218"/>
      <c r="AC60" s="222" t="s">
        <v>83</v>
      </c>
      <c r="AD60" s="218">
        <v>28</v>
      </c>
      <c r="AE60" s="222">
        <v>6010.2</v>
      </c>
      <c r="AF60" s="218">
        <v>5</v>
      </c>
      <c r="AG60" s="224">
        <f t="shared" si="10"/>
        <v>96</v>
      </c>
      <c r="AH60" s="222">
        <v>55.2</v>
      </c>
      <c r="AI60" s="222">
        <f t="shared" si="11"/>
        <v>151.19999999999999</v>
      </c>
      <c r="AJ60" s="222">
        <f t="shared" si="22"/>
        <v>500.84999999999997</v>
      </c>
      <c r="AK60" s="218">
        <f>5*13*60</f>
        <v>3900</v>
      </c>
      <c r="AL60" s="218"/>
      <c r="AM60" s="222">
        <v>284.25</v>
      </c>
      <c r="AN60" s="222">
        <v>13.2</v>
      </c>
      <c r="AO60" s="222">
        <v>24</v>
      </c>
      <c r="AP60" s="222" t="s">
        <v>83</v>
      </c>
      <c r="AQ60" s="218">
        <v>12</v>
      </c>
      <c r="AR60" s="218"/>
      <c r="AS60" s="222" t="s">
        <v>83</v>
      </c>
      <c r="AT60" s="257">
        <v>12</v>
      </c>
      <c r="AU60" s="226"/>
      <c r="AV60" s="227"/>
      <c r="AW60" s="227"/>
      <c r="AX60" s="227"/>
      <c r="AY60" s="228"/>
    </row>
    <row r="61" spans="1:51" ht="26.25">
      <c r="A61" s="212">
        <v>20</v>
      </c>
      <c r="B61" s="213">
        <f>420+280</f>
        <v>700</v>
      </c>
      <c r="C61" s="213"/>
      <c r="D61" s="32">
        <f>280+420</f>
        <v>700</v>
      </c>
      <c r="E61" s="32">
        <f>300+300+800</f>
        <v>1400</v>
      </c>
      <c r="F61" s="338">
        <f t="shared" si="17"/>
        <v>4760</v>
      </c>
      <c r="G61" s="338">
        <f t="shared" si="13"/>
        <v>4.76</v>
      </c>
      <c r="H61" s="339">
        <f>('[2]1'!AM67+'[2]2'!AM67+'[2]3'!AM67+'[2]10K'!AM67)/4</f>
        <v>0</v>
      </c>
      <c r="I61" s="339">
        <f>('[2]1'!AN67+'[2]2'!AN67+'[2]3'!AN67+'[2]10K'!AN67)/4</f>
        <v>0</v>
      </c>
      <c r="J61" s="339">
        <f>('[2]1'!AO67+'[2]2'!AO67+'[2]3'!AO67+'[2]10K'!AO67)/4</f>
        <v>0</v>
      </c>
      <c r="K61" s="339">
        <f t="shared" si="23"/>
        <v>0</v>
      </c>
      <c r="L61" s="348">
        <f t="shared" si="14"/>
        <v>232</v>
      </c>
      <c r="M61" s="217">
        <v>115.4</v>
      </c>
      <c r="N61" s="341">
        <f t="shared" si="8"/>
        <v>347.4</v>
      </c>
      <c r="O61" s="342">
        <f t="shared" si="15"/>
        <v>72.983193277310917</v>
      </c>
      <c r="P61" s="342">
        <f t="shared" si="19"/>
        <v>0.11047619047619048</v>
      </c>
      <c r="Q61" s="218">
        <f>'[2]1'!F67+'[2]2'!F67+'[2]3'!F67+'[2]10K'!F67</f>
        <v>0</v>
      </c>
      <c r="R61" s="218">
        <f>'[2]1'!AA67+'[2]2'!AA67+'[2]3'!AA67</f>
        <v>0</v>
      </c>
      <c r="S61" s="219" t="e">
        <f t="shared" si="9"/>
        <v>#DIV/0!</v>
      </c>
      <c r="T61" s="222">
        <f>0.1+0.3+1.3+1.2+0.4</f>
        <v>3.3000000000000003</v>
      </c>
      <c r="U61" s="343">
        <f t="shared" si="16"/>
        <v>6.9327731092436976E-4</v>
      </c>
      <c r="V61" s="222">
        <f>33+9+6+55+8+55+10.7+2.2+104.4+6+12+3</f>
        <v>304.29999999999995</v>
      </c>
      <c r="W61" s="222">
        <f>'[2]1'!AR67+'[2]2'!AR67+'[2]3'!AR67</f>
        <v>0</v>
      </c>
      <c r="X61" s="344">
        <f t="shared" si="20"/>
        <v>0</v>
      </c>
      <c r="Y61" s="222"/>
      <c r="Z61" s="222"/>
      <c r="AA61" s="218">
        <v>29</v>
      </c>
      <c r="AB61" s="218">
        <v>1</v>
      </c>
      <c r="AC61" s="222" t="s">
        <v>83</v>
      </c>
      <c r="AD61" s="218">
        <v>28</v>
      </c>
      <c r="AE61" s="222">
        <f>2124.6+3792.6</f>
        <v>5917.2</v>
      </c>
      <c r="AF61" s="218">
        <v>5</v>
      </c>
      <c r="AG61" s="224">
        <f>AQ61*8</f>
        <v>0</v>
      </c>
      <c r="AH61" s="222"/>
      <c r="AI61" s="222">
        <f t="shared" si="11"/>
        <v>0</v>
      </c>
      <c r="AJ61" s="222"/>
      <c r="AK61" s="218">
        <f>13*5*60</f>
        <v>3900</v>
      </c>
      <c r="AL61" s="218"/>
      <c r="AM61" s="222">
        <f>98.65+177.65</f>
        <v>276.3</v>
      </c>
      <c r="AN61" s="222">
        <f>5.4+9.6</f>
        <v>15</v>
      </c>
      <c r="AO61" s="222">
        <f>6+20</f>
        <v>26</v>
      </c>
      <c r="AP61" s="222" t="s">
        <v>83</v>
      </c>
      <c r="AQ61" s="218"/>
      <c r="AR61" s="218"/>
      <c r="AS61" s="222" t="s">
        <v>83</v>
      </c>
      <c r="AT61" s="257">
        <v>12</v>
      </c>
      <c r="AU61" s="226"/>
      <c r="AV61" s="227"/>
      <c r="AW61" s="227"/>
      <c r="AX61" s="227"/>
      <c r="AY61" s="228"/>
    </row>
    <row r="62" spans="1:51" ht="26.25">
      <c r="A62" s="212">
        <v>21</v>
      </c>
      <c r="B62" s="213">
        <f>400+200+890+300</f>
        <v>1790</v>
      </c>
      <c r="C62" s="213">
        <f>420+280</f>
        <v>700</v>
      </c>
      <c r="D62" s="215">
        <f>420+280</f>
        <v>700</v>
      </c>
      <c r="E62" s="215">
        <f>400+200+90</f>
        <v>690</v>
      </c>
      <c r="F62" s="338">
        <f t="shared" si="17"/>
        <v>3340</v>
      </c>
      <c r="G62" s="338">
        <f t="shared" si="13"/>
        <v>3.34</v>
      </c>
      <c r="H62" s="339">
        <f>('[2]1'!AM68+'[2]2'!AM68+'[2]3'!AM68+'[2]10K'!AM68)/4</f>
        <v>0</v>
      </c>
      <c r="I62" s="339">
        <f>('[2]1'!AN68+'[2]2'!AN68+'[2]3'!AN68+'[2]10K'!AN68)/4</f>
        <v>0</v>
      </c>
      <c r="J62" s="339">
        <f>('[2]1'!AO68+'[2]2'!AO68+'[2]3'!AO68+'[2]10K'!AO68)/4</f>
        <v>0</v>
      </c>
      <c r="K62" s="339">
        <f t="shared" si="23"/>
        <v>0</v>
      </c>
      <c r="L62" s="348">
        <f t="shared" si="14"/>
        <v>240</v>
      </c>
      <c r="M62" s="217">
        <v>78.400000000000006</v>
      </c>
      <c r="N62" s="341">
        <f t="shared" si="8"/>
        <v>318.39999999999998</v>
      </c>
      <c r="O62" s="342">
        <f t="shared" si="15"/>
        <v>95.329341317365262</v>
      </c>
      <c r="P62" s="342">
        <f t="shared" si="19"/>
        <v>0.17266187050359713</v>
      </c>
      <c r="Q62" s="218">
        <f>'[2]1'!F68+'[2]2'!F68+'[2]3'!F68+'[2]10K'!F68</f>
        <v>0</v>
      </c>
      <c r="R62" s="218">
        <f>'[2]1'!AA68+'[2]2'!AA68+'[2]3'!AA68</f>
        <v>0</v>
      </c>
      <c r="S62" s="219" t="e">
        <f t="shared" si="9"/>
        <v>#DIV/0!</v>
      </c>
      <c r="T62" s="222">
        <f>0.5+0.5+0.4+0.2</f>
        <v>1.5999999999999999</v>
      </c>
      <c r="U62" s="343">
        <f t="shared" si="16"/>
        <v>4.7904191616766461E-4</v>
      </c>
      <c r="V62" s="222">
        <f>44+8+44+1.4+55+7.5+9.2+52.2+4+5</f>
        <v>230.3</v>
      </c>
      <c r="W62" s="222">
        <f>'[2]1'!AR68+'[2]2'!AR68+'[2]3'!AR68</f>
        <v>0</v>
      </c>
      <c r="X62" s="344">
        <f t="shared" si="20"/>
        <v>0</v>
      </c>
      <c r="Y62" s="222"/>
      <c r="Z62" s="222"/>
      <c r="AA62" s="218">
        <v>30</v>
      </c>
      <c r="AB62" s="218"/>
      <c r="AC62" s="222" t="s">
        <v>83</v>
      </c>
      <c r="AD62" s="218">
        <v>28</v>
      </c>
      <c r="AE62" s="222">
        <v>2674.2</v>
      </c>
      <c r="AF62" s="218">
        <v>5</v>
      </c>
      <c r="AG62" s="224">
        <f>AQ62*8</f>
        <v>88</v>
      </c>
      <c r="AH62" s="222">
        <v>0</v>
      </c>
      <c r="AI62" s="222">
        <f>AG62+AH62</f>
        <v>88</v>
      </c>
      <c r="AJ62" s="222">
        <f t="shared" si="22"/>
        <v>243.1090909090909</v>
      </c>
      <c r="AK62" s="218">
        <f>8*5*60</f>
        <v>2400</v>
      </c>
      <c r="AL62" s="218"/>
      <c r="AM62" s="222">
        <v>134</v>
      </c>
      <c r="AN62" s="222">
        <v>10</v>
      </c>
      <c r="AO62" s="222">
        <v>4</v>
      </c>
      <c r="AP62" s="222" t="s">
        <v>83</v>
      </c>
      <c r="AQ62" s="218">
        <v>11</v>
      </c>
      <c r="AR62" s="218">
        <v>1</v>
      </c>
      <c r="AS62" s="222" t="s">
        <v>83</v>
      </c>
      <c r="AT62" s="257">
        <v>12</v>
      </c>
      <c r="AU62" s="226"/>
      <c r="AV62" s="227"/>
      <c r="AW62" s="227"/>
      <c r="AX62" s="227"/>
      <c r="AY62" s="228"/>
    </row>
    <row r="63" spans="1:51" ht="26.25">
      <c r="A63" s="212">
        <v>22</v>
      </c>
      <c r="B63" s="213">
        <f>400+300</f>
        <v>700</v>
      </c>
      <c r="C63" s="213">
        <v>450</v>
      </c>
      <c r="D63" s="32">
        <f>300+400</f>
        <v>700</v>
      </c>
      <c r="E63" s="32">
        <f>250+200</f>
        <v>450</v>
      </c>
      <c r="F63" s="338">
        <f t="shared" si="17"/>
        <v>2860</v>
      </c>
      <c r="G63" s="338">
        <f t="shared" si="13"/>
        <v>2.86</v>
      </c>
      <c r="H63" s="339">
        <f>('[2]1'!AM69+'[2]2'!AM69+'[2]3'!AM69+'[2]10K'!AM69)/4</f>
        <v>0</v>
      </c>
      <c r="I63" s="339">
        <f>('[2]1'!AN69+'[2]2'!AN69+'[2]3'!AN69+'[2]10K'!AN69)/4</f>
        <v>0</v>
      </c>
      <c r="J63" s="339">
        <f>('[2]1'!AO69+'[2]2'!AO69+'[2]3'!AO69+'[2]10K'!AO69)/4</f>
        <v>0</v>
      </c>
      <c r="K63" s="339">
        <f t="shared" si="23"/>
        <v>0</v>
      </c>
      <c r="L63" s="348">
        <f t="shared" si="14"/>
        <v>240</v>
      </c>
      <c r="M63" s="217">
        <v>41.4</v>
      </c>
      <c r="N63" s="341">
        <f t="shared" si="8"/>
        <v>281.39999999999998</v>
      </c>
      <c r="O63" s="342">
        <f t="shared" si="15"/>
        <v>98.391608391608386</v>
      </c>
      <c r="P63" s="342">
        <f t="shared" si="19"/>
        <v>0.20869565217391303</v>
      </c>
      <c r="Q63" s="218">
        <f>'[2]1'!F69+'[2]2'!F69+'[2]3'!F69+'[2]10K'!F69</f>
        <v>0</v>
      </c>
      <c r="R63" s="218">
        <f>'[2]1'!AA69+'[2]2'!AA69+'[2]3'!AA69</f>
        <v>0</v>
      </c>
      <c r="S63" s="219" t="e">
        <f t="shared" si="9"/>
        <v>#DIV/0!</v>
      </c>
      <c r="T63" s="222">
        <f>1+1+0.4+0.6</f>
        <v>3</v>
      </c>
      <c r="U63" s="343">
        <f t="shared" si="16"/>
        <v>1.048951048951049E-3</v>
      </c>
      <c r="V63" s="222">
        <f>33+5.3+2.5+44+1+22+7.9+1+17.4+16</f>
        <v>150.1</v>
      </c>
      <c r="W63" s="222">
        <f>'[2]1'!AR69+'[2]2'!AR69+'[2]3'!AR69</f>
        <v>0</v>
      </c>
      <c r="X63" s="344">
        <f t="shared" si="20"/>
        <v>0</v>
      </c>
      <c r="Y63" s="222"/>
      <c r="Z63" s="222"/>
      <c r="AA63" s="218">
        <v>30</v>
      </c>
      <c r="AB63" s="218"/>
      <c r="AC63" s="222"/>
      <c r="AD63" s="218">
        <v>28</v>
      </c>
      <c r="AE63" s="222">
        <v>2430</v>
      </c>
      <c r="AF63" s="218">
        <v>5</v>
      </c>
      <c r="AG63" s="224">
        <f t="shared" ref="AG63:AG72" si="24">AQ63*8</f>
        <v>88</v>
      </c>
      <c r="AH63" s="222">
        <v>0</v>
      </c>
      <c r="AI63" s="222">
        <f t="shared" si="11"/>
        <v>88</v>
      </c>
      <c r="AJ63" s="251">
        <f t="shared" si="22"/>
        <v>220.90909090909091</v>
      </c>
      <c r="AK63" s="218">
        <f>8*5*60</f>
        <v>2400</v>
      </c>
      <c r="AL63" s="218">
        <v>90</v>
      </c>
      <c r="AM63" s="222">
        <v>128.55000000000001</v>
      </c>
      <c r="AN63" s="222">
        <v>7.3</v>
      </c>
      <c r="AO63" s="222">
        <v>8</v>
      </c>
      <c r="AP63" s="222"/>
      <c r="AQ63" s="218">
        <v>11</v>
      </c>
      <c r="AR63" s="218">
        <v>1</v>
      </c>
      <c r="AS63" s="222"/>
      <c r="AT63" s="257">
        <v>12</v>
      </c>
      <c r="AU63" s="226"/>
      <c r="AV63" s="227"/>
      <c r="AW63" s="227"/>
      <c r="AX63" s="227"/>
      <c r="AY63" s="228"/>
    </row>
    <row r="64" spans="1:51" ht="26.25">
      <c r="A64" s="229">
        <v>23</v>
      </c>
      <c r="B64" s="230"/>
      <c r="C64" s="230"/>
      <c r="D64" s="232"/>
      <c r="E64" s="232"/>
      <c r="F64" s="232">
        <f t="shared" si="17"/>
        <v>0</v>
      </c>
      <c r="G64" s="232">
        <f t="shared" si="13"/>
        <v>0</v>
      </c>
      <c r="H64" s="233"/>
      <c r="I64" s="233"/>
      <c r="J64" s="233"/>
      <c r="K64" s="233"/>
      <c r="L64" s="234">
        <f t="shared" si="14"/>
        <v>0</v>
      </c>
      <c r="M64" s="259"/>
      <c r="N64" s="232">
        <f t="shared" si="8"/>
        <v>0</v>
      </c>
      <c r="O64" s="240"/>
      <c r="P64" s="240"/>
      <c r="Q64" s="236">
        <f>'[2]1'!F70+'[2]2'!F70+'[2]3'!F70+'[2]10K'!F70</f>
        <v>0</v>
      </c>
      <c r="R64" s="236">
        <f>'[2]1'!AA70+'[2]2'!AA70+'[2]3'!AA70</f>
        <v>0</v>
      </c>
      <c r="S64" s="237" t="e">
        <f t="shared" si="9"/>
        <v>#DIV/0!</v>
      </c>
      <c r="T64" s="240"/>
      <c r="U64" s="260" t="e">
        <f t="shared" si="16"/>
        <v>#DIV/0!</v>
      </c>
      <c r="V64" s="240"/>
      <c r="W64" s="240">
        <f>'[2]1'!AR70+'[2]2'!AR70+'[2]3'!AR70</f>
        <v>0</v>
      </c>
      <c r="X64" s="351" t="e">
        <f t="shared" si="20"/>
        <v>#DIV/0!</v>
      </c>
      <c r="Y64" s="240"/>
      <c r="Z64" s="240"/>
      <c r="AA64" s="236"/>
      <c r="AB64" s="236"/>
      <c r="AC64" s="240" t="s">
        <v>83</v>
      </c>
      <c r="AD64" s="241">
        <v>28</v>
      </c>
      <c r="AE64" s="240"/>
      <c r="AF64" s="236"/>
      <c r="AG64" s="242">
        <f t="shared" si="24"/>
        <v>0</v>
      </c>
      <c r="AH64" s="240"/>
      <c r="AI64" s="240">
        <f t="shared" si="11"/>
        <v>0</v>
      </c>
      <c r="AJ64" s="240"/>
      <c r="AK64" s="236"/>
      <c r="AL64" s="236"/>
      <c r="AM64" s="240"/>
      <c r="AN64" s="240"/>
      <c r="AO64" s="240"/>
      <c r="AP64" s="240" t="s">
        <v>83</v>
      </c>
      <c r="AQ64" s="236"/>
      <c r="AR64" s="236"/>
      <c r="AS64" s="240" t="s">
        <v>83</v>
      </c>
      <c r="AT64" s="261">
        <v>12</v>
      </c>
      <c r="AU64" s="244"/>
      <c r="AV64" s="245"/>
      <c r="AW64" s="245"/>
      <c r="AX64" s="245"/>
      <c r="AY64" s="246"/>
    </row>
    <row r="65" spans="1:51" ht="26.25">
      <c r="A65" s="212">
        <v>24</v>
      </c>
      <c r="B65" s="213">
        <f>420+280</f>
        <v>700</v>
      </c>
      <c r="C65" s="213">
        <f>500+500+500</f>
        <v>1500</v>
      </c>
      <c r="D65" s="32">
        <v>700</v>
      </c>
      <c r="E65" s="32">
        <f>500+500+400</f>
        <v>1400</v>
      </c>
      <c r="F65" s="338">
        <f t="shared" si="17"/>
        <v>4760</v>
      </c>
      <c r="G65" s="338">
        <f t="shared" si="13"/>
        <v>4.76</v>
      </c>
      <c r="H65" s="339">
        <f>('[2]1'!AM71+'[2]2'!AM71+'[2]3'!AM71+'[2]10K'!AM71)/4</f>
        <v>0</v>
      </c>
      <c r="I65" s="339">
        <f>('[2]1'!AN71+'[2]2'!AN71+'[2]3'!AN71+'[2]10K'!AN71)/4</f>
        <v>0</v>
      </c>
      <c r="J65" s="339">
        <f>('[2]1'!AO71+'[2]2'!AO71+'[2]3'!AO71+'[2]10K'!AO71)/4</f>
        <v>0</v>
      </c>
      <c r="K65" s="339">
        <f t="shared" si="23"/>
        <v>0</v>
      </c>
      <c r="L65" s="348">
        <f t="shared" si="14"/>
        <v>240</v>
      </c>
      <c r="M65" s="217">
        <v>117.4</v>
      </c>
      <c r="N65" s="341">
        <f t="shared" si="8"/>
        <v>357.4</v>
      </c>
      <c r="O65" s="342">
        <f t="shared" si="15"/>
        <v>75.084033613445371</v>
      </c>
      <c r="P65" s="342">
        <f t="shared" si="19"/>
        <v>0.11428571428571428</v>
      </c>
      <c r="Q65" s="218">
        <f>'[2]1'!F71+'[2]2'!F71+'[2]3'!F71+'[2]10K'!F71</f>
        <v>0</v>
      </c>
      <c r="R65" s="218">
        <f>'[2]1'!AA71+'[2]2'!AA71+'[2]3'!AA71</f>
        <v>0</v>
      </c>
      <c r="S65" s="219" t="e">
        <f t="shared" si="9"/>
        <v>#DIV/0!</v>
      </c>
      <c r="T65" s="222">
        <f>1.7+1+1.5+0.3</f>
        <v>4.5</v>
      </c>
      <c r="U65" s="343">
        <f t="shared" si="16"/>
        <v>9.453781512605042E-4</v>
      </c>
      <c r="V65" s="222">
        <f>33+3.6+8+44+9.5+8+55+10.6+2.7+104.4+10.2+7+1</f>
        <v>296.99999999999994</v>
      </c>
      <c r="W65" s="222">
        <f>'[2]1'!AR71+'[2]2'!AR71+'[2]3'!AR71</f>
        <v>0</v>
      </c>
      <c r="X65" s="344">
        <f t="shared" si="20"/>
        <v>0</v>
      </c>
      <c r="Y65" s="222"/>
      <c r="Z65" s="222"/>
      <c r="AA65" s="218">
        <v>30</v>
      </c>
      <c r="AB65" s="218"/>
      <c r="AC65" s="222" t="s">
        <v>83</v>
      </c>
      <c r="AD65" s="218">
        <v>28</v>
      </c>
      <c r="AE65" s="222">
        <v>5504.4</v>
      </c>
      <c r="AF65" s="218">
        <v>5</v>
      </c>
      <c r="AG65" s="224">
        <f t="shared" si="24"/>
        <v>80</v>
      </c>
      <c r="AH65" s="222">
        <v>46.4</v>
      </c>
      <c r="AI65" s="222">
        <f t="shared" si="11"/>
        <v>126.4</v>
      </c>
      <c r="AJ65" s="222">
        <f t="shared" si="22"/>
        <v>550.43999999999994</v>
      </c>
      <c r="AK65" s="218">
        <f>13*5*60</f>
        <v>3900</v>
      </c>
      <c r="AL65" s="218">
        <v>360</v>
      </c>
      <c r="AM65" s="222">
        <v>241.65</v>
      </c>
      <c r="AN65" s="222">
        <v>14.9</v>
      </c>
      <c r="AO65" s="222">
        <v>13</v>
      </c>
      <c r="AP65" s="222" t="s">
        <v>83</v>
      </c>
      <c r="AQ65" s="218">
        <v>10</v>
      </c>
      <c r="AR65" s="218">
        <v>2</v>
      </c>
      <c r="AS65" s="222" t="s">
        <v>83</v>
      </c>
      <c r="AT65" s="257">
        <v>12</v>
      </c>
      <c r="AU65" s="226"/>
      <c r="AV65" s="227"/>
      <c r="AW65" s="227"/>
      <c r="AX65" s="227"/>
      <c r="AY65" s="228"/>
    </row>
    <row r="66" spans="1:51" ht="26.25">
      <c r="A66" s="212">
        <v>25</v>
      </c>
      <c r="B66" s="213">
        <f>420+280</f>
        <v>700</v>
      </c>
      <c r="C66" s="213">
        <f>450+320</f>
        <v>770</v>
      </c>
      <c r="D66" s="32">
        <f>420+70+280</f>
        <v>770</v>
      </c>
      <c r="E66" s="32">
        <f>64+800+100</f>
        <v>964</v>
      </c>
      <c r="F66" s="338">
        <f t="shared" si="17"/>
        <v>4084</v>
      </c>
      <c r="G66" s="338">
        <f t="shared" si="13"/>
        <v>4.0839999999999996</v>
      </c>
      <c r="H66" s="339">
        <f>('[2]1'!AM72+'[2]2'!AM72+'[2]3'!AM72+'[2]10K'!AM72)/4</f>
        <v>0</v>
      </c>
      <c r="I66" s="339">
        <f>('[2]1'!AN72+'[2]2'!AN72+'[2]3'!AN72+'[2]10K'!AN72)/4</f>
        <v>0</v>
      </c>
      <c r="J66" s="339">
        <f>('[2]1'!AO72+'[2]2'!AO72+'[2]3'!AO72+'[2]10K'!AO72)/4</f>
        <v>0</v>
      </c>
      <c r="K66" s="339">
        <f t="shared" si="23"/>
        <v>0</v>
      </c>
      <c r="L66" s="348">
        <f t="shared" si="14"/>
        <v>232</v>
      </c>
      <c r="M66" s="217">
        <v>115.2</v>
      </c>
      <c r="N66" s="341">
        <f t="shared" si="8"/>
        <v>347.2</v>
      </c>
      <c r="O66" s="342">
        <f t="shared" si="15"/>
        <v>85.014691478942225</v>
      </c>
      <c r="P66" s="342">
        <f t="shared" si="19"/>
        <v>0.13379469434832755</v>
      </c>
      <c r="Q66" s="218">
        <f>'[2]1'!F72+'[2]2'!F72+'[2]3'!F72+'[2]10K'!F72</f>
        <v>0</v>
      </c>
      <c r="R66" s="218">
        <f>'[2]1'!AA72+'[2]2'!AA72+'[2]3'!AA72</f>
        <v>0</v>
      </c>
      <c r="S66" s="219" t="e">
        <f t="shared" si="9"/>
        <v>#DIV/0!</v>
      </c>
      <c r="T66" s="222">
        <f>0.5+1.2+1+0.3+0.3</f>
        <v>3.3</v>
      </c>
      <c r="U66" s="343">
        <f t="shared" si="16"/>
        <v>8.080313418217434E-4</v>
      </c>
      <c r="V66" s="222">
        <f>44+2+55+7.5+2+55+8.7+2+261+1.7+1</f>
        <v>439.9</v>
      </c>
      <c r="W66" s="222">
        <f>'[2]1'!AR72+'[2]2'!AR72+'[2]3'!AR72</f>
        <v>0</v>
      </c>
      <c r="X66" s="344">
        <f t="shared" si="20"/>
        <v>0</v>
      </c>
      <c r="Y66" s="222"/>
      <c r="Z66" s="222"/>
      <c r="AA66" s="218">
        <v>29</v>
      </c>
      <c r="AB66" s="218">
        <v>1</v>
      </c>
      <c r="AC66" s="222" t="s">
        <v>83</v>
      </c>
      <c r="AD66" s="218">
        <v>28</v>
      </c>
      <c r="AE66" s="222">
        <f>2913+2999.4</f>
        <v>5912.4</v>
      </c>
      <c r="AF66" s="218">
        <v>5</v>
      </c>
      <c r="AG66" s="224">
        <f t="shared" si="24"/>
        <v>96</v>
      </c>
      <c r="AH66" s="222">
        <v>55.2</v>
      </c>
      <c r="AI66" s="222">
        <f t="shared" si="11"/>
        <v>151.19999999999999</v>
      </c>
      <c r="AJ66" s="222">
        <f t="shared" si="22"/>
        <v>492.7</v>
      </c>
      <c r="AK66" s="218">
        <f>13*60*5</f>
        <v>3900</v>
      </c>
      <c r="AL66" s="218"/>
      <c r="AM66" s="222">
        <f>128.55+138.7</f>
        <v>267.25</v>
      </c>
      <c r="AN66" s="222">
        <f>9.4+9.8</f>
        <v>19.200000000000003</v>
      </c>
      <c r="AO66" s="222">
        <f>4+14</f>
        <v>18</v>
      </c>
      <c r="AP66" s="222" t="s">
        <v>83</v>
      </c>
      <c r="AQ66" s="218">
        <v>12</v>
      </c>
      <c r="AR66" s="218"/>
      <c r="AS66" s="222" t="s">
        <v>83</v>
      </c>
      <c r="AT66" s="257">
        <v>12</v>
      </c>
      <c r="AU66" s="226"/>
      <c r="AV66" s="227"/>
      <c r="AW66" s="227"/>
      <c r="AX66" s="227"/>
      <c r="AY66" s="228"/>
    </row>
    <row r="67" spans="1:51" ht="26.25">
      <c r="A67" s="212">
        <v>26</v>
      </c>
      <c r="B67" s="213">
        <f>420+280</f>
        <v>700</v>
      </c>
      <c r="C67" s="213">
        <v>1500</v>
      </c>
      <c r="D67" s="32">
        <f>280+350+70</f>
        <v>700</v>
      </c>
      <c r="E67" s="32">
        <f>256+256</f>
        <v>512</v>
      </c>
      <c r="F67" s="338">
        <f t="shared" si="17"/>
        <v>2984</v>
      </c>
      <c r="G67" s="338">
        <f t="shared" si="13"/>
        <v>2.984</v>
      </c>
      <c r="H67" s="339">
        <f>('[2]1'!AM73+'[2]2'!AM73+'[2]3'!AM73+'[2]10K'!AM73)/4</f>
        <v>0</v>
      </c>
      <c r="I67" s="339">
        <f>('[2]1'!AN73+'[2]2'!AN73+'[2]3'!AN73+'[2]10K'!AN73)/4</f>
        <v>0</v>
      </c>
      <c r="J67" s="339">
        <f>('[2]1'!AO73+'[2]2'!AO73+'[2]3'!AO73+'[2]10K'!AO73)/4</f>
        <v>0</v>
      </c>
      <c r="K67" s="339">
        <f t="shared" si="23"/>
        <v>0</v>
      </c>
      <c r="L67" s="348">
        <f t="shared" si="14"/>
        <v>240</v>
      </c>
      <c r="M67" s="217">
        <v>114.4</v>
      </c>
      <c r="N67" s="341">
        <f t="shared" si="8"/>
        <v>354.4</v>
      </c>
      <c r="O67" s="342">
        <f t="shared" si="15"/>
        <v>118.76675603217157</v>
      </c>
      <c r="P67" s="342">
        <f t="shared" si="19"/>
        <v>0.19801980198019803</v>
      </c>
      <c r="Q67" s="218">
        <f>'[2]1'!F73+'[2]2'!F73+'[2]3'!F73+'[2]10K'!F73</f>
        <v>0</v>
      </c>
      <c r="R67" s="218">
        <f>'[2]1'!AA73+'[2]2'!AA73+'[2]3'!AA73</f>
        <v>0</v>
      </c>
      <c r="S67" s="219" t="e">
        <f t="shared" si="9"/>
        <v>#DIV/0!</v>
      </c>
      <c r="T67" s="222">
        <f>1+1+1+1.3+0.5+0.4</f>
        <v>5.2</v>
      </c>
      <c r="U67" s="343">
        <f t="shared" si="16"/>
        <v>1.7426273458445041E-3</v>
      </c>
      <c r="V67" s="222">
        <f>77+55+3+3+55+9.2+17.4*3+14.6+4</f>
        <v>273</v>
      </c>
      <c r="W67" s="222">
        <f>'[2]1'!AR73+'[2]2'!AR73+'[2]3'!AR73</f>
        <v>0</v>
      </c>
      <c r="X67" s="344">
        <f t="shared" si="20"/>
        <v>0</v>
      </c>
      <c r="Y67" s="222"/>
      <c r="Z67" s="222"/>
      <c r="AA67" s="218">
        <v>30</v>
      </c>
      <c r="AB67" s="218">
        <v>1</v>
      </c>
      <c r="AC67" s="222" t="s">
        <v>83</v>
      </c>
      <c r="AD67" s="218">
        <v>28</v>
      </c>
      <c r="AE67" s="222">
        <f>1615.2+4420.8</f>
        <v>6036</v>
      </c>
      <c r="AF67" s="218">
        <v>5</v>
      </c>
      <c r="AG67" s="224">
        <f t="shared" si="24"/>
        <v>96</v>
      </c>
      <c r="AH67" s="222">
        <v>55.2</v>
      </c>
      <c r="AI67" s="222">
        <f t="shared" si="11"/>
        <v>151.19999999999999</v>
      </c>
      <c r="AJ67" s="222">
        <f t="shared" si="22"/>
        <v>503</v>
      </c>
      <c r="AK67" s="218">
        <f>13*5*60</f>
        <v>3900</v>
      </c>
      <c r="AL67" s="218"/>
      <c r="AM67" s="222">
        <f>65.85+208.4</f>
        <v>274.25</v>
      </c>
      <c r="AN67" s="222">
        <f>5.9+14.7</f>
        <v>20.6</v>
      </c>
      <c r="AO67" s="222">
        <f>4+12</f>
        <v>16</v>
      </c>
      <c r="AP67" s="222" t="s">
        <v>83</v>
      </c>
      <c r="AQ67" s="218">
        <v>12</v>
      </c>
      <c r="AR67" s="218"/>
      <c r="AS67" s="222" t="s">
        <v>83</v>
      </c>
      <c r="AT67" s="257">
        <v>12</v>
      </c>
      <c r="AU67" s="226"/>
      <c r="AV67" s="227"/>
      <c r="AW67" s="227"/>
      <c r="AX67" s="227"/>
      <c r="AY67" s="228"/>
    </row>
    <row r="68" spans="1:51" ht="26.25">
      <c r="A68" s="212">
        <v>27</v>
      </c>
      <c r="B68" s="213">
        <f>420+280</f>
        <v>700</v>
      </c>
      <c r="C68" s="213">
        <f>800+500</f>
        <v>1300</v>
      </c>
      <c r="D68" s="32">
        <f>350+280</f>
        <v>630</v>
      </c>
      <c r="E68" s="32">
        <f>196+999+160</f>
        <v>1355</v>
      </c>
      <c r="F68" s="338">
        <f t="shared" si="17"/>
        <v>4474</v>
      </c>
      <c r="G68" s="338">
        <f t="shared" si="13"/>
        <v>4.4740000000000002</v>
      </c>
      <c r="H68" s="339">
        <f>('[2]1'!AM74+'[2]2'!AM74+'[2]3'!AM74+'[2]10K'!AM74)/4</f>
        <v>0</v>
      </c>
      <c r="I68" s="339">
        <f>('[2]1'!AN74+'[2]2'!AN74+'[2]3'!AN74+'[2]10K'!AN74)/4</f>
        <v>0</v>
      </c>
      <c r="J68" s="339">
        <f>('[2]1'!AO74+'[2]2'!AO74+'[2]3'!AO74+'[2]10K'!AO74)/4</f>
        <v>0</v>
      </c>
      <c r="K68" s="354">
        <f>(H68*I68*J68)/10000</f>
        <v>0</v>
      </c>
      <c r="L68" s="348">
        <f t="shared" si="14"/>
        <v>248</v>
      </c>
      <c r="M68" s="217">
        <v>117.4</v>
      </c>
      <c r="N68" s="341">
        <f t="shared" si="8"/>
        <v>365.4</v>
      </c>
      <c r="O68" s="342">
        <f t="shared" si="15"/>
        <v>81.671881984801061</v>
      </c>
      <c r="P68" s="342">
        <f t="shared" si="19"/>
        <v>0.12493702770780857</v>
      </c>
      <c r="Q68" s="218">
        <f>'[2]1'!F74+'[2]2'!F74+'[2]3'!F74+'[2]10K'!F74</f>
        <v>0</v>
      </c>
      <c r="R68" s="218">
        <f>'[2]1'!AA74+'[2]2'!AA74+'[2]3'!AA74</f>
        <v>0</v>
      </c>
      <c r="S68" s="219" t="e">
        <f t="shared" si="9"/>
        <v>#DIV/0!</v>
      </c>
      <c r="T68" s="222">
        <f>0.4+1.1+1.1+0.3</f>
        <v>2.9</v>
      </c>
      <c r="U68" s="355">
        <f t="shared" si="16"/>
        <v>6.4818953956191324E-4</v>
      </c>
      <c r="V68" s="222">
        <f>11+6+55+3+55+9.4+5*17.4+11+14.5</f>
        <v>251.9</v>
      </c>
      <c r="W68" s="222">
        <f>'[2]1'!AR74+'[2]2'!AR74+'[2]3'!AR74</f>
        <v>0</v>
      </c>
      <c r="X68" s="344">
        <f t="shared" si="20"/>
        <v>0</v>
      </c>
      <c r="Y68" s="222"/>
      <c r="Z68" s="222"/>
      <c r="AA68" s="218">
        <v>31</v>
      </c>
      <c r="AB68" s="218"/>
      <c r="AC68" s="222" t="s">
        <v>83</v>
      </c>
      <c r="AD68" s="218">
        <v>28</v>
      </c>
      <c r="AE68" s="222">
        <v>3276</v>
      </c>
      <c r="AF68" s="218">
        <v>5</v>
      </c>
      <c r="AG68" s="224">
        <f t="shared" si="24"/>
        <v>96</v>
      </c>
      <c r="AH68" s="222">
        <v>0</v>
      </c>
      <c r="AI68" s="222">
        <f t="shared" si="11"/>
        <v>96</v>
      </c>
      <c r="AJ68" s="222">
        <f t="shared" si="22"/>
        <v>273</v>
      </c>
      <c r="AK68" s="218">
        <f>5*8*60</f>
        <v>2400</v>
      </c>
      <c r="AL68" s="218"/>
      <c r="AM68" s="222">
        <v>163.15</v>
      </c>
      <c r="AN68" s="222">
        <v>17</v>
      </c>
      <c r="AO68" s="222">
        <v>12</v>
      </c>
      <c r="AP68" s="222" t="s">
        <v>83</v>
      </c>
      <c r="AQ68" s="218">
        <v>12</v>
      </c>
      <c r="AR68" s="218"/>
      <c r="AS68" s="222" t="s">
        <v>83</v>
      </c>
      <c r="AT68" s="257">
        <v>12</v>
      </c>
      <c r="AU68" s="226"/>
      <c r="AV68" s="227"/>
      <c r="AW68" s="227"/>
      <c r="AX68" s="227"/>
      <c r="AY68" s="228"/>
    </row>
    <row r="69" spans="1:51" ht="26.25">
      <c r="A69" s="212">
        <v>28</v>
      </c>
      <c r="B69" s="213">
        <f>420+280</f>
        <v>700</v>
      </c>
      <c r="C69" s="213">
        <v>1500</v>
      </c>
      <c r="D69" s="32">
        <f>350+280</f>
        <v>630</v>
      </c>
      <c r="E69" s="32">
        <f>500+400+500+240</f>
        <v>1640</v>
      </c>
      <c r="F69" s="338">
        <f t="shared" si="17"/>
        <v>5044</v>
      </c>
      <c r="G69" s="338">
        <f t="shared" si="13"/>
        <v>5.0439999999999996</v>
      </c>
      <c r="H69" s="339">
        <f>('[2]1'!AM75+'[2]2'!AM75+'[2]3'!AM75+'[2]10K'!AM75)/4</f>
        <v>0</v>
      </c>
      <c r="I69" s="339">
        <f>('[2]1'!AN75+'[2]2'!AN75+'[2]3'!AN75+'[2]10K'!AN75)/4</f>
        <v>0</v>
      </c>
      <c r="J69" s="339">
        <f>('[2]1'!AO75+'[2]2'!AO75+'[2]3'!AO75+'[2]10K'!AO75)/4</f>
        <v>0</v>
      </c>
      <c r="K69" s="339">
        <f t="shared" si="23"/>
        <v>0</v>
      </c>
      <c r="L69" s="348">
        <v>240</v>
      </c>
      <c r="M69" s="217">
        <v>117.4</v>
      </c>
      <c r="N69" s="341">
        <f t="shared" si="8"/>
        <v>357.4</v>
      </c>
      <c r="O69" s="342">
        <f t="shared" si="15"/>
        <v>70.856463124504359</v>
      </c>
      <c r="P69" s="342">
        <f t="shared" si="19"/>
        <v>0.10572687224669604</v>
      </c>
      <c r="Q69" s="218">
        <f>'[2]1'!F75+'[2]2'!F75+'[2]3'!F75+'[2]10K'!F75</f>
        <v>0</v>
      </c>
      <c r="R69" s="218">
        <f>'[2]1'!AA75+'[2]2'!AA75+'[2]3'!AA75</f>
        <v>0</v>
      </c>
      <c r="S69" s="219" t="e">
        <f t="shared" si="9"/>
        <v>#DIV/0!</v>
      </c>
      <c r="T69" s="222">
        <f>1+1.6+1.6+0.3</f>
        <v>4.5</v>
      </c>
      <c r="U69" s="355">
        <f t="shared" si="16"/>
        <v>8.9214908802537666E-4</v>
      </c>
      <c r="V69" s="222">
        <f>33+5+55+8+66+0.8+7*17.4+8.3+2</f>
        <v>299.90000000000003</v>
      </c>
      <c r="W69" s="222">
        <f>'[2]1'!AR75+'[2]2'!AR75+'[2]3'!AR75</f>
        <v>0</v>
      </c>
      <c r="X69" s="344">
        <f t="shared" si="20"/>
        <v>0</v>
      </c>
      <c r="Y69" s="222"/>
      <c r="Z69" s="222"/>
      <c r="AA69" s="218"/>
      <c r="AB69" s="218"/>
      <c r="AC69" s="222"/>
      <c r="AD69" s="218">
        <v>28</v>
      </c>
      <c r="AE69" s="222">
        <v>3591</v>
      </c>
      <c r="AF69" s="218">
        <v>5</v>
      </c>
      <c r="AG69" s="224">
        <f t="shared" si="24"/>
        <v>0</v>
      </c>
      <c r="AH69" s="222"/>
      <c r="AI69" s="222">
        <f t="shared" si="11"/>
        <v>0</v>
      </c>
      <c r="AJ69" s="222"/>
      <c r="AK69" s="218">
        <f>8*5*60</f>
        <v>2400</v>
      </c>
      <c r="AL69" s="218"/>
      <c r="AM69" s="222">
        <v>170.95</v>
      </c>
      <c r="AN69" s="222">
        <v>13.8</v>
      </c>
      <c r="AO69" s="222">
        <v>8</v>
      </c>
      <c r="AP69" s="222"/>
      <c r="AQ69" s="218"/>
      <c r="AR69" s="218"/>
      <c r="AS69" s="222"/>
      <c r="AT69" s="257"/>
      <c r="AU69" s="226"/>
      <c r="AV69" s="227"/>
      <c r="AW69" s="227"/>
      <c r="AX69" s="227"/>
      <c r="AY69" s="228"/>
    </row>
    <row r="70" spans="1:51" ht="26.25">
      <c r="A70" s="212">
        <v>29</v>
      </c>
      <c r="B70" s="213">
        <f>280+140</f>
        <v>420</v>
      </c>
      <c r="C70" s="213">
        <v>1000</v>
      </c>
      <c r="D70" s="32">
        <v>350</v>
      </c>
      <c r="E70" s="32">
        <v>1100</v>
      </c>
      <c r="F70" s="338">
        <f t="shared" si="17"/>
        <v>3180</v>
      </c>
      <c r="G70" s="338">
        <f t="shared" si="13"/>
        <v>3.18</v>
      </c>
      <c r="H70" s="339">
        <f>('[2]1'!AM76+'[2]2'!AM76+'[2]3'!AM76+'[2]10K'!AM76)/4</f>
        <v>0</v>
      </c>
      <c r="I70" s="339">
        <f>('[2]1'!AN76+'[2]2'!AN76+'[2]3'!AN76+'[2]10K'!AN76)/4</f>
        <v>0</v>
      </c>
      <c r="J70" s="339">
        <f>('[2]1'!AO76+'[2]2'!AO76+'[2]3'!AO76+'[2]10K'!AO76)/4</f>
        <v>0</v>
      </c>
      <c r="K70" s="339">
        <f t="shared" si="23"/>
        <v>0</v>
      </c>
      <c r="L70" s="348">
        <v>240</v>
      </c>
      <c r="M70" s="217">
        <v>117.4</v>
      </c>
      <c r="N70" s="341">
        <f t="shared" si="8"/>
        <v>357.4</v>
      </c>
      <c r="O70" s="342">
        <f t="shared" si="15"/>
        <v>112.38993710691823</v>
      </c>
      <c r="P70" s="342">
        <f t="shared" si="19"/>
        <v>0.16551724137931034</v>
      </c>
      <c r="Q70" s="218">
        <f>'[2]1'!F76+'[2]2'!F76+'[2]3'!F76+'[2]10K'!F76</f>
        <v>0</v>
      </c>
      <c r="R70" s="218">
        <f>'[2]1'!AA76+'[2]2'!AA76+'[2]3'!AA76</f>
        <v>0</v>
      </c>
      <c r="S70" s="219" t="e">
        <f t="shared" si="9"/>
        <v>#DIV/0!</v>
      </c>
      <c r="T70" s="222">
        <f>0.6+0.6+0.8</f>
        <v>2</v>
      </c>
      <c r="U70" s="355">
        <f t="shared" si="16"/>
        <v>6.2893081761006286E-4</v>
      </c>
      <c r="V70" s="222">
        <f>22+2.5+22+5.9+4*17.4+8</f>
        <v>130</v>
      </c>
      <c r="W70" s="222">
        <f>'[2]1'!AR76+'[2]2'!AR76+'[2]3'!AR76</f>
        <v>0</v>
      </c>
      <c r="X70" s="344">
        <f t="shared" si="20"/>
        <v>0</v>
      </c>
      <c r="Y70" s="222"/>
      <c r="Z70" s="222"/>
      <c r="AA70" s="218"/>
      <c r="AB70" s="218"/>
      <c r="AC70" s="222"/>
      <c r="AD70" s="218">
        <v>28</v>
      </c>
      <c r="AE70" s="222">
        <v>907.2</v>
      </c>
      <c r="AF70" s="218">
        <v>5</v>
      </c>
      <c r="AG70" s="224">
        <f t="shared" si="24"/>
        <v>0</v>
      </c>
      <c r="AH70" s="222">
        <v>0</v>
      </c>
      <c r="AI70" s="222">
        <f t="shared" si="11"/>
        <v>0</v>
      </c>
      <c r="AJ70" s="251"/>
      <c r="AK70" s="218">
        <f>8*5*60</f>
        <v>2400</v>
      </c>
      <c r="AL70" s="218"/>
      <c r="AM70" s="222">
        <v>43.3</v>
      </c>
      <c r="AN70" s="222">
        <v>3.8</v>
      </c>
      <c r="AO70" s="222">
        <v>4</v>
      </c>
      <c r="AP70" s="222"/>
      <c r="AQ70" s="218"/>
      <c r="AR70" s="218"/>
      <c r="AS70" s="222"/>
      <c r="AT70" s="257"/>
      <c r="AU70" s="226"/>
      <c r="AV70" s="227"/>
      <c r="AW70" s="227"/>
      <c r="AX70" s="227"/>
      <c r="AY70" s="228"/>
    </row>
    <row r="71" spans="1:51" ht="26.25">
      <c r="A71" s="212"/>
      <c r="B71" s="213"/>
      <c r="C71" s="213"/>
      <c r="D71" s="32"/>
      <c r="E71" s="32"/>
      <c r="F71" s="338">
        <f t="shared" si="17"/>
        <v>0</v>
      </c>
      <c r="G71" s="338">
        <f t="shared" si="13"/>
        <v>0</v>
      </c>
      <c r="H71" s="339">
        <f>('[2]1'!AM77+'[2]2'!AM77+'[2]3'!AM77+'[2]10K'!AM77)/4</f>
        <v>0</v>
      </c>
      <c r="I71" s="339">
        <f>('[2]1'!AN77+'[2]2'!AN77+'[2]3'!AN77+'[2]10K'!AN77)/4</f>
        <v>0</v>
      </c>
      <c r="J71" s="339">
        <f>('[2]1'!AO77+'[2]2'!AO77+'[2]3'!AO77+'[2]10K'!AO77)/4</f>
        <v>0</v>
      </c>
      <c r="K71" s="339">
        <f t="shared" si="23"/>
        <v>0</v>
      </c>
      <c r="L71" s="348">
        <f t="shared" si="14"/>
        <v>0</v>
      </c>
      <c r="M71" s="217"/>
      <c r="N71" s="341">
        <f t="shared" si="8"/>
        <v>0</v>
      </c>
      <c r="O71" s="342"/>
      <c r="P71" s="342" t="e">
        <f t="shared" si="19"/>
        <v>#DIV/0!</v>
      </c>
      <c r="Q71" s="218">
        <f>'[2]1'!F77+'[2]2'!F77+'[2]3'!F77+'[2]10K'!F77</f>
        <v>0</v>
      </c>
      <c r="R71" s="218">
        <f>'[2]1'!AA77+'[2]2'!AA77+'[2]3'!AA77</f>
        <v>0</v>
      </c>
      <c r="S71" s="219" t="e">
        <f t="shared" si="9"/>
        <v>#DIV/0!</v>
      </c>
      <c r="T71" s="222"/>
      <c r="U71" s="343" t="e">
        <f t="shared" si="16"/>
        <v>#DIV/0!</v>
      </c>
      <c r="V71" s="222"/>
      <c r="W71" s="222">
        <f>'[2]1'!AR77+'[2]2'!AR77+'[2]3'!AR77</f>
        <v>0</v>
      </c>
      <c r="X71" s="344" t="e">
        <f t="shared" si="20"/>
        <v>#DIV/0!</v>
      </c>
      <c r="Y71" s="222"/>
      <c r="Z71" s="222"/>
      <c r="AA71" s="218"/>
      <c r="AB71" s="218"/>
      <c r="AC71" s="222"/>
      <c r="AD71" s="218">
        <v>28</v>
      </c>
      <c r="AE71" s="222"/>
      <c r="AF71" s="218"/>
      <c r="AG71" s="224">
        <f t="shared" si="24"/>
        <v>0</v>
      </c>
      <c r="AH71" s="222"/>
      <c r="AI71" s="222">
        <f t="shared" si="11"/>
        <v>0</v>
      </c>
      <c r="AJ71" s="222"/>
      <c r="AK71" s="218"/>
      <c r="AL71" s="218"/>
      <c r="AM71" s="222"/>
      <c r="AN71" s="222"/>
      <c r="AO71" s="222"/>
      <c r="AP71" s="222"/>
      <c r="AQ71" s="218"/>
      <c r="AR71" s="218"/>
      <c r="AS71" s="222"/>
      <c r="AT71" s="257"/>
      <c r="AU71" s="226"/>
      <c r="AV71" s="227"/>
      <c r="AW71" s="227"/>
      <c r="AX71" s="227"/>
      <c r="AY71" s="228"/>
    </row>
    <row r="72" spans="1:51" ht="26.25">
      <c r="A72" s="212"/>
      <c r="B72" s="213"/>
      <c r="C72" s="213"/>
      <c r="D72" s="32"/>
      <c r="E72" s="32"/>
      <c r="F72" s="338">
        <f t="shared" si="17"/>
        <v>0</v>
      </c>
      <c r="G72" s="338">
        <f t="shared" si="13"/>
        <v>0</v>
      </c>
      <c r="H72" s="339">
        <f>('[2]1'!AM78+'[2]2'!AM78+'[2]3'!AM78+'[2]10K'!AM78)/4</f>
        <v>0</v>
      </c>
      <c r="I72" s="339">
        <f>('[2]1'!AN78+'[2]2'!AN78+'[2]3'!AN78+'[2]10K'!AN78)/4</f>
        <v>0</v>
      </c>
      <c r="J72" s="339">
        <f>('[2]1'!AO78+'[2]2'!AO78+'[2]3'!AO78+'[2]10K'!AO78)/4</f>
        <v>0</v>
      </c>
      <c r="K72" s="339">
        <f t="shared" si="23"/>
        <v>0</v>
      </c>
      <c r="L72" s="348">
        <f t="shared" si="14"/>
        <v>0</v>
      </c>
      <c r="M72" s="217"/>
      <c r="N72" s="341">
        <f t="shared" si="8"/>
        <v>0</v>
      </c>
      <c r="O72" s="342"/>
      <c r="P72" s="342" t="e">
        <f t="shared" si="19"/>
        <v>#DIV/0!</v>
      </c>
      <c r="Q72" s="218">
        <f>'[2]1'!F78+'[2]2'!F78+'[2]3'!F78+'[2]10K'!F78</f>
        <v>0</v>
      </c>
      <c r="R72" s="218">
        <f>'[2]1'!AA78+'[2]2'!AA78+'[2]3'!AA78</f>
        <v>0</v>
      </c>
      <c r="S72" s="219" t="e">
        <f t="shared" si="9"/>
        <v>#DIV/0!</v>
      </c>
      <c r="T72" s="222"/>
      <c r="U72" s="343" t="e">
        <f t="shared" si="16"/>
        <v>#DIV/0!</v>
      </c>
      <c r="V72" s="222"/>
      <c r="W72" s="222">
        <f>'[2]1'!AR78+'[2]2'!AR78+'[2]3'!AR78</f>
        <v>0</v>
      </c>
      <c r="X72" s="344" t="e">
        <f t="shared" si="20"/>
        <v>#DIV/0!</v>
      </c>
      <c r="Y72" s="222"/>
      <c r="Z72" s="222"/>
      <c r="AA72" s="218"/>
      <c r="AB72" s="218"/>
      <c r="AC72" s="222"/>
      <c r="AD72" s="218">
        <v>28</v>
      </c>
      <c r="AE72" s="222"/>
      <c r="AF72" s="218"/>
      <c r="AG72" s="224">
        <f t="shared" si="24"/>
        <v>0</v>
      </c>
      <c r="AH72" s="222"/>
      <c r="AI72" s="222">
        <f t="shared" si="11"/>
        <v>0</v>
      </c>
      <c r="AJ72" s="222"/>
      <c r="AK72" s="218"/>
      <c r="AL72" s="218"/>
      <c r="AM72" s="222"/>
      <c r="AN72" s="222"/>
      <c r="AO72" s="222"/>
      <c r="AP72" s="222"/>
      <c r="AQ72" s="218"/>
      <c r="AR72" s="218"/>
      <c r="AS72" s="222"/>
      <c r="AT72" s="257"/>
      <c r="AU72" s="226"/>
      <c r="AV72" s="227"/>
      <c r="AW72" s="227"/>
      <c r="AX72" s="227"/>
      <c r="AY72" s="228"/>
    </row>
    <row r="73" spans="1:51" ht="27" thickBot="1">
      <c r="A73" s="265" t="s">
        <v>84</v>
      </c>
      <c r="B73" s="266">
        <f>SUM(B42:B72)</f>
        <v>14380</v>
      </c>
      <c r="C73" s="268">
        <f>SUM(C44:C72)</f>
        <v>23420</v>
      </c>
      <c r="D73" s="267">
        <f t="shared" ref="D73:AT73" si="25">SUM(D42:D72)</f>
        <v>13384</v>
      </c>
      <c r="E73" s="268">
        <f>SUM(E44:E72)</f>
        <v>24711</v>
      </c>
      <c r="F73" s="268">
        <f t="shared" si="25"/>
        <v>86897.2</v>
      </c>
      <c r="G73" s="268">
        <f>SUM(G44:G72)</f>
        <v>80.865999999999985</v>
      </c>
      <c r="H73" s="269">
        <f t="shared" si="25"/>
        <v>0</v>
      </c>
      <c r="I73" s="269">
        <f t="shared" si="25"/>
        <v>0</v>
      </c>
      <c r="J73" s="269">
        <f t="shared" si="25"/>
        <v>0</v>
      </c>
      <c r="K73" s="269">
        <f>SUM(K42:K72)</f>
        <v>0</v>
      </c>
      <c r="L73" s="270">
        <f t="shared" si="25"/>
        <v>5704</v>
      </c>
      <c r="M73" s="270">
        <f t="shared" si="25"/>
        <v>1689.6000000000004</v>
      </c>
      <c r="N73" s="270">
        <f t="shared" si="25"/>
        <v>7393.5999999999967</v>
      </c>
      <c r="O73" s="222">
        <f>SUM(O42:O72)</f>
        <v>2812.0136270689559</v>
      </c>
      <c r="P73" s="222" t="e">
        <f>SUM(P42:P72)</f>
        <v>#DIV/0!</v>
      </c>
      <c r="Q73" s="271">
        <f t="shared" si="25"/>
        <v>0</v>
      </c>
      <c r="R73" s="271">
        <f t="shared" si="25"/>
        <v>0</v>
      </c>
      <c r="S73" s="271" t="e">
        <f t="shared" si="25"/>
        <v>#DIV/0!</v>
      </c>
      <c r="T73" s="272">
        <f t="shared" si="25"/>
        <v>65.599999999999994</v>
      </c>
      <c r="U73" s="273">
        <f t="shared" si="16"/>
        <v>7.5491500301505684E-4</v>
      </c>
      <c r="V73" s="274">
        <f t="shared" si="25"/>
        <v>5237.5999999999995</v>
      </c>
      <c r="W73" s="274">
        <f t="shared" si="25"/>
        <v>0</v>
      </c>
      <c r="X73" s="344">
        <f t="shared" si="20"/>
        <v>0</v>
      </c>
      <c r="Y73" s="275">
        <f t="shared" si="25"/>
        <v>3.9</v>
      </c>
      <c r="Z73" s="275">
        <f t="shared" si="25"/>
        <v>4.7</v>
      </c>
      <c r="AA73" s="276">
        <f t="shared" si="25"/>
        <v>653</v>
      </c>
      <c r="AB73" s="276">
        <f t="shared" si="25"/>
        <v>16</v>
      </c>
      <c r="AC73" s="276">
        <f t="shared" si="25"/>
        <v>0</v>
      </c>
      <c r="AD73" s="276">
        <f t="shared" si="25"/>
        <v>861</v>
      </c>
      <c r="AE73" s="277">
        <f t="shared" si="25"/>
        <v>83290.399999999994</v>
      </c>
      <c r="AF73" s="278">
        <f t="shared" si="25"/>
        <v>117</v>
      </c>
      <c r="AG73" s="279">
        <f t="shared" si="25"/>
        <v>2056</v>
      </c>
      <c r="AH73" s="276">
        <f t="shared" si="25"/>
        <v>396.79999999999995</v>
      </c>
      <c r="AI73" s="276">
        <f t="shared" si="25"/>
        <v>2452.7999999999997</v>
      </c>
      <c r="AJ73" s="276">
        <f t="shared" si="25"/>
        <v>6249.524848484848</v>
      </c>
      <c r="AK73" s="280">
        <f t="shared" si="25"/>
        <v>66660</v>
      </c>
      <c r="AL73" s="280">
        <f t="shared" si="25"/>
        <v>925</v>
      </c>
      <c r="AM73" s="272">
        <f t="shared" si="25"/>
        <v>4072.3500000000004</v>
      </c>
      <c r="AN73" s="272">
        <f t="shared" si="25"/>
        <v>318.60000000000002</v>
      </c>
      <c r="AO73" s="240">
        <f t="shared" si="25"/>
        <v>289</v>
      </c>
      <c r="AP73" s="281">
        <f t="shared" si="25"/>
        <v>0</v>
      </c>
      <c r="AQ73" s="282">
        <f t="shared" si="25"/>
        <v>257</v>
      </c>
      <c r="AR73" s="282">
        <f t="shared" si="25"/>
        <v>7</v>
      </c>
      <c r="AS73" s="271">
        <f t="shared" si="25"/>
        <v>0</v>
      </c>
      <c r="AT73" s="283">
        <f t="shared" si="25"/>
        <v>324</v>
      </c>
      <c r="AU73" s="284"/>
      <c r="AV73" s="172"/>
      <c r="AW73" s="172"/>
      <c r="AX73" s="172"/>
      <c r="AY73" s="173"/>
    </row>
    <row r="75" spans="1:51">
      <c r="C75" s="30">
        <f>(D73+E73)/(B73+C73)*100</f>
        <v>100.78042328042326</v>
      </c>
    </row>
  </sheetData>
  <mergeCells count="31">
    <mergeCell ref="AT40:AT41"/>
    <mergeCell ref="AU40:AY41"/>
    <mergeCell ref="AG40:AJ40"/>
    <mergeCell ref="AK40:AL40"/>
    <mergeCell ref="AM40:AN40"/>
    <mergeCell ref="AQ40:AQ41"/>
    <mergeCell ref="AR40:AR41"/>
    <mergeCell ref="AS40:AS41"/>
    <mergeCell ref="AD40:AD41"/>
    <mergeCell ref="B38:AD39"/>
    <mergeCell ref="AE38:AT39"/>
    <mergeCell ref="B40:C40"/>
    <mergeCell ref="D40:E40"/>
    <mergeCell ref="F40:G40"/>
    <mergeCell ref="H40:H41"/>
    <mergeCell ref="I40:I41"/>
    <mergeCell ref="J40:J41"/>
    <mergeCell ref="K40:K41"/>
    <mergeCell ref="L40:O40"/>
    <mergeCell ref="Q40:R40"/>
    <mergeCell ref="V40:X40"/>
    <mergeCell ref="AA40:AA41"/>
    <mergeCell ref="AB40:AB41"/>
    <mergeCell ref="AC40:AC41"/>
    <mergeCell ref="B1:AB2"/>
    <mergeCell ref="I3:L3"/>
    <mergeCell ref="M3:N3"/>
    <mergeCell ref="U3:U4"/>
    <mergeCell ref="V3:V4"/>
    <mergeCell ref="W3:W4"/>
    <mergeCell ref="Y3:AB3"/>
  </mergeCells>
  <pageMargins left="0.2" right="0.2" top="0.12" bottom="0.28000000000000003" header="0.16" footer="0.3"/>
  <pageSetup paperSize="9" scale="4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6EAF-05F1-49C3-9AD7-0C11936251E5}">
  <sheetPr>
    <tabColor rgb="FFFFFF00"/>
  </sheetPr>
  <dimension ref="A1:O35"/>
  <sheetViews>
    <sheetView tabSelected="1" topLeftCell="A4" zoomScale="85" zoomScaleNormal="85" workbookViewId="0">
      <selection activeCell="P10" sqref="P10"/>
    </sheetView>
  </sheetViews>
  <sheetFormatPr defaultRowHeight="15"/>
  <cols>
    <col min="1" max="1" width="11.7109375" bestFit="1" customWidth="1"/>
    <col min="2" max="2" width="33.85546875" bestFit="1" customWidth="1"/>
    <col min="3" max="10" width="10.28515625" customWidth="1"/>
  </cols>
  <sheetData>
    <row r="1" spans="1:14" ht="18.75">
      <c r="A1" s="13" t="s">
        <v>28</v>
      </c>
    </row>
    <row r="3" spans="1:14" ht="15.75">
      <c r="A3" s="29" t="s">
        <v>0</v>
      </c>
      <c r="B3" s="1" t="s">
        <v>40</v>
      </c>
      <c r="C3" s="1"/>
      <c r="D3" s="1"/>
      <c r="E3" s="1"/>
      <c r="F3" s="1"/>
      <c r="G3" s="1"/>
      <c r="H3" s="1"/>
      <c r="I3" s="1"/>
      <c r="J3" s="1"/>
    </row>
    <row r="4" spans="1:14" ht="15.7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4" ht="15.75">
      <c r="A5" s="401"/>
      <c r="B5" s="403" t="s">
        <v>1</v>
      </c>
      <c r="C5" s="405" t="s">
        <v>117</v>
      </c>
      <c r="D5" s="405" t="s">
        <v>118</v>
      </c>
      <c r="E5" s="407" t="s">
        <v>29</v>
      </c>
      <c r="F5" s="407"/>
      <c r="G5" s="407"/>
      <c r="H5" s="407"/>
      <c r="I5" s="407"/>
      <c r="J5" s="407"/>
    </row>
    <row r="6" spans="1:14" ht="15.75">
      <c r="A6" s="402"/>
      <c r="B6" s="404"/>
      <c r="C6" s="406"/>
      <c r="D6" s="404"/>
      <c r="E6" s="408" t="s">
        <v>119</v>
      </c>
      <c r="F6" s="408" t="s">
        <v>120</v>
      </c>
      <c r="G6" s="18" t="s">
        <v>34</v>
      </c>
      <c r="H6" s="18" t="s">
        <v>33</v>
      </c>
      <c r="I6" s="18" t="s">
        <v>32</v>
      </c>
      <c r="J6" s="18" t="s">
        <v>31</v>
      </c>
    </row>
    <row r="7" spans="1:14">
      <c r="A7" s="19" t="s">
        <v>2</v>
      </c>
      <c r="B7" s="10" t="s">
        <v>6</v>
      </c>
      <c r="C7" s="7"/>
      <c r="D7" s="12"/>
      <c r="E7" s="415">
        <v>87.156000000000006</v>
      </c>
      <c r="F7" s="411">
        <v>86.897000000000006</v>
      </c>
      <c r="G7" s="11"/>
      <c r="H7" s="12"/>
      <c r="I7" s="11"/>
      <c r="J7" s="12"/>
    </row>
    <row r="8" spans="1:14">
      <c r="A8" s="20"/>
      <c r="B8" s="6" t="s">
        <v>7</v>
      </c>
      <c r="C8" s="7"/>
      <c r="D8" s="7"/>
      <c r="E8" s="414">
        <v>31127</v>
      </c>
      <c r="F8" s="417">
        <v>38095</v>
      </c>
      <c r="G8" s="3"/>
      <c r="H8" s="7"/>
      <c r="I8" s="3"/>
      <c r="J8" s="7"/>
      <c r="L8" s="3"/>
    </row>
    <row r="9" spans="1:14">
      <c r="A9" s="20"/>
      <c r="B9" s="7" t="s">
        <v>3</v>
      </c>
      <c r="C9" s="50">
        <v>71.849999999999994</v>
      </c>
      <c r="D9" s="50">
        <f>C9*1.05</f>
        <v>75.442499999999995</v>
      </c>
      <c r="E9" s="417">
        <v>65.5</v>
      </c>
      <c r="F9" s="417">
        <v>69.680000000000007</v>
      </c>
      <c r="G9" s="61"/>
      <c r="H9" s="50"/>
      <c r="I9" s="62"/>
      <c r="J9" s="50"/>
      <c r="K9" s="65"/>
      <c r="L9" s="66">
        <v>88</v>
      </c>
      <c r="M9">
        <v>7394</v>
      </c>
      <c r="N9">
        <v>2452.8000000000002</v>
      </c>
    </row>
    <row r="10" spans="1:14">
      <c r="A10" s="20"/>
      <c r="B10" s="7" t="s">
        <v>4</v>
      </c>
      <c r="C10" s="56">
        <v>154</v>
      </c>
      <c r="D10" s="56">
        <f>C10*0.95</f>
        <v>146.29999999999998</v>
      </c>
      <c r="E10" s="417">
        <v>146.6</v>
      </c>
      <c r="F10" s="417">
        <v>122.65</v>
      </c>
      <c r="G10" s="63"/>
      <c r="H10" s="56"/>
      <c r="I10" s="64"/>
      <c r="J10" s="56"/>
      <c r="K10" s="65"/>
      <c r="L10" s="66">
        <v>9934.7999999999993</v>
      </c>
      <c r="M10">
        <v>81</v>
      </c>
      <c r="N10">
        <f>L10/M10</f>
        <v>122.65185185185184</v>
      </c>
    </row>
    <row r="11" spans="1:14">
      <c r="A11" s="28"/>
      <c r="B11" s="8" t="s">
        <v>5</v>
      </c>
      <c r="C11" s="8">
        <v>0.35</v>
      </c>
      <c r="D11" s="412">
        <f>C11*0.95</f>
        <v>0.33249999999999996</v>
      </c>
      <c r="E11" s="416">
        <v>0.41</v>
      </c>
      <c r="F11" s="416">
        <v>0.33</v>
      </c>
      <c r="G11" s="413"/>
      <c r="H11" s="412"/>
      <c r="I11" s="412"/>
      <c r="J11" s="412"/>
      <c r="K11" s="65"/>
      <c r="L11" s="66">
        <v>12778</v>
      </c>
      <c r="M11">
        <v>38095</v>
      </c>
      <c r="N11">
        <f>L11/M11</f>
        <v>0.33542459640372752</v>
      </c>
    </row>
    <row r="12" spans="1:14">
      <c r="A12" s="20" t="s">
        <v>8</v>
      </c>
      <c r="B12" s="7" t="s">
        <v>111</v>
      </c>
      <c r="C12" s="7">
        <v>0.03</v>
      </c>
      <c r="D12" s="7">
        <v>2.7E-2</v>
      </c>
      <c r="E12" s="415"/>
      <c r="F12" s="414"/>
      <c r="G12" s="3"/>
      <c r="H12" s="7"/>
      <c r="I12" s="3"/>
      <c r="J12" s="7"/>
      <c r="K12" s="65"/>
      <c r="L12" s="3"/>
    </row>
    <row r="13" spans="1:14">
      <c r="A13" s="20"/>
      <c r="B13" s="7" t="s">
        <v>112</v>
      </c>
      <c r="C13" s="7">
        <v>0.01</v>
      </c>
      <c r="D13" s="7">
        <v>9.0000000000000011E-3</v>
      </c>
      <c r="E13" s="414"/>
      <c r="F13" s="418"/>
      <c r="G13" s="3"/>
      <c r="H13" s="7"/>
      <c r="I13" s="3"/>
      <c r="J13" s="7"/>
      <c r="K13" s="65"/>
      <c r="L13" s="3">
        <v>7261.61</v>
      </c>
      <c r="M13">
        <v>104091.55</v>
      </c>
      <c r="N13">
        <f>L13/M13*100</f>
        <v>6.976176260224773</v>
      </c>
    </row>
    <row r="14" spans="1:14">
      <c r="A14" s="20"/>
      <c r="B14" s="7" t="s">
        <v>9</v>
      </c>
      <c r="C14" s="7">
        <v>7</v>
      </c>
      <c r="D14" s="7">
        <v>4</v>
      </c>
      <c r="E14" s="416">
        <v>0</v>
      </c>
      <c r="F14" s="410">
        <v>0</v>
      </c>
      <c r="G14" s="3"/>
      <c r="H14" s="7"/>
      <c r="I14" s="3"/>
      <c r="J14" s="7"/>
      <c r="K14" s="65"/>
      <c r="L14" s="3">
        <f>521.5+598+64.7</f>
        <v>1184.2</v>
      </c>
      <c r="M14">
        <v>104091.55</v>
      </c>
      <c r="N14">
        <f>L14/M14*100</f>
        <v>1.1376523838870687</v>
      </c>
    </row>
    <row r="15" spans="1:14">
      <c r="A15" s="19" t="s">
        <v>10</v>
      </c>
      <c r="B15" s="12" t="s">
        <v>115</v>
      </c>
      <c r="C15" s="12"/>
      <c r="D15" s="55">
        <v>3</v>
      </c>
      <c r="E15" s="411">
        <v>6.97</v>
      </c>
      <c r="F15" s="411">
        <v>14.11</v>
      </c>
      <c r="G15" s="11"/>
      <c r="H15" s="12"/>
      <c r="I15" s="11"/>
      <c r="J15" s="12"/>
      <c r="L15" s="3"/>
    </row>
    <row r="16" spans="1:14">
      <c r="A16" s="20"/>
      <c r="B16" s="7" t="s">
        <v>114</v>
      </c>
      <c r="C16" s="7"/>
      <c r="D16" s="7">
        <v>3</v>
      </c>
      <c r="E16" s="417">
        <v>1.1299999999999999</v>
      </c>
      <c r="F16" s="418"/>
      <c r="G16" s="3"/>
      <c r="H16" s="7"/>
      <c r="I16" s="3"/>
      <c r="J16" s="7"/>
      <c r="L16" s="59">
        <v>546.5</v>
      </c>
      <c r="M16" s="59">
        <v>9409.2900000000009</v>
      </c>
      <c r="N16">
        <f>L16/M16*100</f>
        <v>5.8080896645761788</v>
      </c>
    </row>
    <row r="17" spans="1:15">
      <c r="A17" s="20"/>
      <c r="B17" s="7" t="s">
        <v>116</v>
      </c>
      <c r="C17" s="7"/>
      <c r="D17" s="7">
        <v>3</v>
      </c>
      <c r="E17" s="417">
        <v>5.8</v>
      </c>
      <c r="F17" s="417">
        <v>4.63</v>
      </c>
      <c r="G17" s="3"/>
      <c r="H17" s="7"/>
      <c r="I17" s="3"/>
      <c r="J17" s="7"/>
      <c r="L17" s="59"/>
    </row>
    <row r="18" spans="1:15">
      <c r="A18" s="20"/>
      <c r="B18" s="7" t="s">
        <v>13</v>
      </c>
      <c r="C18" s="51">
        <v>62098.076183807585</v>
      </c>
      <c r="D18" s="54">
        <f>C18*0.95</f>
        <v>58993.172374617207</v>
      </c>
      <c r="E18" s="418"/>
      <c r="F18" s="414"/>
      <c r="G18" s="60"/>
      <c r="H18" s="54"/>
      <c r="I18" s="60"/>
      <c r="J18" s="54"/>
      <c r="L18" s="59">
        <v>1808</v>
      </c>
      <c r="M18">
        <v>12811</v>
      </c>
      <c r="N18">
        <f>L18/M18*100</f>
        <v>14.112871750839123</v>
      </c>
    </row>
    <row r="19" spans="1:15">
      <c r="A19" s="20"/>
      <c r="B19" s="7" t="s">
        <v>14</v>
      </c>
      <c r="C19" s="7"/>
      <c r="D19" s="52"/>
      <c r="E19" s="414"/>
      <c r="F19" s="418"/>
      <c r="G19" s="3"/>
      <c r="H19" s="7"/>
      <c r="I19" s="3"/>
      <c r="J19" s="7"/>
    </row>
    <row r="20" spans="1:15">
      <c r="A20" s="20"/>
      <c r="B20" s="7" t="s">
        <v>15</v>
      </c>
      <c r="C20" s="7">
        <v>1332</v>
      </c>
      <c r="D20" s="56">
        <f>C20*0.95</f>
        <v>1265.3999999999999</v>
      </c>
      <c r="E20" s="417">
        <v>1355.2710083069437</v>
      </c>
      <c r="F20" s="418">
        <v>1083.696790453065</v>
      </c>
      <c r="G20" s="3"/>
      <c r="H20" s="7"/>
      <c r="I20" s="3"/>
      <c r="J20" s="7"/>
      <c r="L20" s="58">
        <f>C20-D20</f>
        <v>66.600000000000136</v>
      </c>
      <c r="M20">
        <f>L20/3</f>
        <v>22.200000000000045</v>
      </c>
    </row>
    <row r="21" spans="1:15">
      <c r="A21" s="20"/>
      <c r="B21" s="7" t="s">
        <v>16</v>
      </c>
      <c r="C21" s="7">
        <v>150</v>
      </c>
      <c r="D21" s="56">
        <f>C21*0.95</f>
        <v>142.5</v>
      </c>
      <c r="E21" s="418">
        <v>170.57919133507733</v>
      </c>
      <c r="F21" s="418">
        <v>140.18895934267005</v>
      </c>
      <c r="G21" s="3"/>
      <c r="H21" s="7"/>
      <c r="I21" s="7"/>
      <c r="J21" s="7"/>
      <c r="L21" s="58">
        <f>C21-D21</f>
        <v>7.5</v>
      </c>
      <c r="M21">
        <f t="shared" ref="M21:M22" si="0">L21/3</f>
        <v>2.5</v>
      </c>
    </row>
    <row r="22" spans="1:15">
      <c r="A22" s="20"/>
      <c r="B22" s="7" t="s">
        <v>17</v>
      </c>
      <c r="C22" s="7">
        <v>0.9</v>
      </c>
      <c r="D22" s="50">
        <f>C22*0.95</f>
        <v>0.85499999999999998</v>
      </c>
      <c r="E22" s="410">
        <v>6.8050392399834774</v>
      </c>
      <c r="F22" s="410">
        <v>5.1900525909985378</v>
      </c>
      <c r="G22" s="3"/>
      <c r="H22" s="7"/>
      <c r="I22" s="57"/>
      <c r="J22" s="57"/>
      <c r="L22" s="58">
        <f>C22-D22</f>
        <v>4.500000000000004E-2</v>
      </c>
      <c r="M22">
        <f t="shared" si="0"/>
        <v>1.5000000000000013E-2</v>
      </c>
    </row>
    <row r="23" spans="1:15">
      <c r="A23" s="19" t="s">
        <v>18</v>
      </c>
      <c r="B23" s="12" t="s">
        <v>19</v>
      </c>
      <c r="C23" s="12">
        <v>95</v>
      </c>
      <c r="D23" s="12">
        <v>95</v>
      </c>
      <c r="E23" s="409">
        <v>95.39</v>
      </c>
      <c r="F23" s="409">
        <v>100.78</v>
      </c>
      <c r="G23" s="71"/>
      <c r="H23" s="12"/>
      <c r="I23" s="11"/>
      <c r="J23" s="12"/>
      <c r="K23" s="49"/>
    </row>
    <row r="24" spans="1:15">
      <c r="A24" s="19" t="s">
        <v>20</v>
      </c>
      <c r="B24" s="12" t="s">
        <v>21</v>
      </c>
      <c r="C24" s="12">
        <v>0</v>
      </c>
      <c r="D24" s="12">
        <v>0</v>
      </c>
      <c r="E24" s="415"/>
      <c r="F24" s="411"/>
      <c r="G24" s="11"/>
      <c r="H24" s="12"/>
      <c r="I24" s="11"/>
      <c r="J24" s="12"/>
    </row>
    <row r="25" spans="1:15">
      <c r="A25" s="20"/>
      <c r="B25" s="7" t="s">
        <v>22</v>
      </c>
      <c r="C25" s="7">
        <v>2</v>
      </c>
      <c r="D25" s="7">
        <v>1</v>
      </c>
      <c r="E25" s="414"/>
      <c r="F25" s="418"/>
      <c r="G25" s="68"/>
      <c r="H25" s="7"/>
      <c r="I25" s="68"/>
      <c r="J25" s="7"/>
      <c r="L25">
        <v>17</v>
      </c>
      <c r="M25">
        <f>27*69</f>
        <v>1863</v>
      </c>
      <c r="N25">
        <f>L25/M25*100/4</f>
        <v>0.22812667740203973</v>
      </c>
    </row>
    <row r="26" spans="1:15">
      <c r="A26" s="20"/>
      <c r="B26" s="7" t="s">
        <v>23</v>
      </c>
      <c r="C26" s="7">
        <v>8.33</v>
      </c>
      <c r="D26" s="67">
        <f>+C26*0.95</f>
        <v>7.9135</v>
      </c>
      <c r="E26" s="417"/>
      <c r="F26" s="418"/>
      <c r="G26" s="3"/>
      <c r="H26" s="7"/>
      <c r="I26" s="3"/>
      <c r="J26" s="7"/>
    </row>
    <row r="27" spans="1:15">
      <c r="A27" s="20"/>
      <c r="B27" s="8" t="s">
        <v>24</v>
      </c>
      <c r="C27" s="8"/>
      <c r="D27" s="8"/>
      <c r="E27" s="416"/>
      <c r="F27" s="416"/>
      <c r="G27" s="5"/>
      <c r="H27" s="8"/>
      <c r="I27" s="5"/>
      <c r="J27" s="8"/>
      <c r="L27">
        <v>11</v>
      </c>
      <c r="M27">
        <v>69</v>
      </c>
      <c r="N27">
        <f>L27*69/100</f>
        <v>7.59</v>
      </c>
      <c r="O27">
        <f>N27/5</f>
        <v>1.518</v>
      </c>
    </row>
    <row r="28" spans="1:15">
      <c r="A28" s="27" t="s">
        <v>25</v>
      </c>
      <c r="B28" s="7" t="s">
        <v>26</v>
      </c>
      <c r="C28" s="7">
        <v>0.48</v>
      </c>
      <c r="D28" s="50">
        <f>C28*0.95</f>
        <v>0.45599999999999996</v>
      </c>
      <c r="E28" s="415">
        <v>1.51</v>
      </c>
      <c r="F28" s="415"/>
      <c r="G28" s="3"/>
      <c r="H28" s="7"/>
      <c r="I28" s="3"/>
      <c r="J28" s="7"/>
      <c r="L28">
        <v>4</v>
      </c>
      <c r="M28">
        <v>69</v>
      </c>
      <c r="N28">
        <f>L28/M28*100/5</f>
        <v>1.1594202898550725</v>
      </c>
    </row>
    <row r="29" spans="1:15">
      <c r="A29" s="20"/>
      <c r="B29" s="7" t="s">
        <v>27</v>
      </c>
      <c r="C29" s="53">
        <v>1</v>
      </c>
      <c r="D29" s="7">
        <f>C29*0.95</f>
        <v>0.95</v>
      </c>
      <c r="E29" s="418">
        <v>1.1499999999999999</v>
      </c>
      <c r="F29" s="419">
        <v>0</v>
      </c>
      <c r="G29" s="3"/>
      <c r="H29" s="7"/>
      <c r="I29" s="3"/>
      <c r="J29" s="7"/>
    </row>
    <row r="30" spans="1:15">
      <c r="A30" s="21"/>
      <c r="B30" s="8"/>
      <c r="C30" s="8"/>
      <c r="D30" s="8"/>
      <c r="E30" s="410"/>
      <c r="F30" s="410"/>
      <c r="G30" s="5"/>
      <c r="H30" s="8"/>
      <c r="I30" s="5"/>
      <c r="J30" s="8"/>
      <c r="L30">
        <v>11</v>
      </c>
      <c r="M30">
        <v>69</v>
      </c>
      <c r="N30">
        <f>L30*69/100</f>
        <v>7.59</v>
      </c>
      <c r="O30">
        <f>N30/5</f>
        <v>1.518</v>
      </c>
    </row>
    <row r="31" spans="1:15">
      <c r="A31" s="69" t="s">
        <v>113</v>
      </c>
    </row>
    <row r="33" spans="2:3">
      <c r="B33">
        <v>1355.2710083069437</v>
      </c>
      <c r="C33">
        <v>1083.696790453065</v>
      </c>
    </row>
    <row r="34" spans="2:3">
      <c r="B34">
        <v>170.57919133507733</v>
      </c>
      <c r="C34">
        <v>140.18895934267005</v>
      </c>
    </row>
    <row r="35" spans="2:3">
      <c r="B35">
        <v>6.8050392399834774</v>
      </c>
      <c r="C35">
        <v>5.1900525909985378</v>
      </c>
    </row>
  </sheetData>
  <mergeCells count="5">
    <mergeCell ref="A5:A6"/>
    <mergeCell ref="B5:B6"/>
    <mergeCell ref="C5:C6"/>
    <mergeCell ref="D5:D6"/>
    <mergeCell ref="E5:J5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77C-1361-4127-9A35-7C5E0B8FF7E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 Action Plan</vt:lpstr>
      <vt:lpstr> Target</vt:lpstr>
      <vt:lpstr>Daily-Jan'20</vt:lpstr>
      <vt:lpstr>Daily-Feb'20</vt:lpstr>
      <vt:lpstr>KPI-2020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PDL_08</cp:lastModifiedBy>
  <cp:lastPrinted>2020-01-20T06:21:21Z</cp:lastPrinted>
  <dcterms:created xsi:type="dcterms:W3CDTF">2019-12-06T01:53:38Z</dcterms:created>
  <dcterms:modified xsi:type="dcterms:W3CDTF">2020-03-16T02:17:45Z</dcterms:modified>
</cp:coreProperties>
</file>