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steve\OneDrive\Desktop\Power Assist System - Sergey\"/>
    </mc:Choice>
  </mc:AlternateContent>
  <xr:revisionPtr revIDLastSave="0" documentId="13_ncr:1_{26962D19-8B5C-4CDF-AA47-15EADF5F38AC}" xr6:coauthVersionLast="47" xr6:coauthVersionMax="47" xr10:uidLastSave="{00000000-0000-0000-0000-000000000000}"/>
  <bookViews>
    <workbookView xWindow="-120" yWindow="-120" windowWidth="29040" windowHeight="15840" xr2:uid="{00000000-000D-0000-FFFF-FFFF00000000}"/>
  </bookViews>
  <sheets>
    <sheet name="Mk VI Modules - BOM" sheetId="1" r:id="rId1"/>
    <sheet name="PCB - BOM" sheetId="2" r:id="rId2"/>
    <sheet name="design calculations" sheetId="3" r:id="rId3"/>
  </sheets>
  <definedNames>
    <definedName name="_xlnm.Print_Area" localSheetId="2">'design calculations'!$A$2:$N$21</definedName>
    <definedName name="_xlnm.Print_Area" localSheetId="0">'Mk VI Modules - BOM'!$A$159:$N$179</definedName>
    <definedName name="_xlnm.Print_Area" localSheetId="1">'PCB - BOM'!$B$6:$Q$54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0" i="1" l="1"/>
  <c r="L164" i="1"/>
  <c r="J163" i="1"/>
  <c r="J9" i="1"/>
  <c r="N164" i="1" l="1"/>
  <c r="N163" i="1"/>
  <c r="A115" i="1"/>
  <c r="F7" i="2"/>
  <c r="Q105" i="2"/>
  <c r="C50" i="2"/>
  <c r="AF22" i="2"/>
  <c r="AE22" i="2"/>
  <c r="Z22" i="2"/>
  <c r="Y22" i="2"/>
  <c r="X22" i="2"/>
  <c r="W22" i="2"/>
  <c r="S22" i="2"/>
  <c r="V22" i="2" s="1"/>
  <c r="P22" i="2"/>
  <c r="AG22" i="2" s="1"/>
  <c r="P40" i="2"/>
  <c r="Q40" i="2" s="1"/>
  <c r="B40" i="2" s="1"/>
  <c r="S40" i="2"/>
  <c r="T40" i="2"/>
  <c r="V40" i="2"/>
  <c r="W40" i="2"/>
  <c r="X40" i="2"/>
  <c r="Y40" i="2"/>
  <c r="P41" i="2"/>
  <c r="Q41" i="2" s="1"/>
  <c r="B41" i="2" s="1"/>
  <c r="S41" i="2"/>
  <c r="U41" i="2" s="1"/>
  <c r="T41" i="2"/>
  <c r="V41" i="2"/>
  <c r="W41" i="2"/>
  <c r="X41" i="2"/>
  <c r="Y41" i="2"/>
  <c r="Y45" i="2"/>
  <c r="X45" i="2"/>
  <c r="W45" i="2"/>
  <c r="V45" i="2"/>
  <c r="T45" i="2"/>
  <c r="S45" i="2"/>
  <c r="P45" i="2"/>
  <c r="Q45" i="2" s="1"/>
  <c r="B45" i="2" s="1"/>
  <c r="N293" i="1"/>
  <c r="L286" i="1"/>
  <c r="N286" i="1" s="1"/>
  <c r="L284" i="1"/>
  <c r="N284" i="1" s="1"/>
  <c r="L285" i="1"/>
  <c r="N285" i="1" s="1"/>
  <c r="N292" i="1"/>
  <c r="L291" i="1"/>
  <c r="N291" i="1" s="1"/>
  <c r="N290" i="1"/>
  <c r="N289" i="1"/>
  <c r="N288" i="1"/>
  <c r="L287" i="1"/>
  <c r="L283" i="1"/>
  <c r="N283" i="1" s="1"/>
  <c r="L281" i="1"/>
  <c r="N281" i="1" s="1"/>
  <c r="L280" i="1"/>
  <c r="N280" i="1" s="1"/>
  <c r="M278" i="1"/>
  <c r="Y173" i="2"/>
  <c r="X173" i="2"/>
  <c r="W173" i="2"/>
  <c r="V173" i="2"/>
  <c r="T173" i="2"/>
  <c r="S173" i="2"/>
  <c r="P173" i="2"/>
  <c r="Q173" i="2" s="1"/>
  <c r="B173" i="2" s="1"/>
  <c r="Y157" i="2"/>
  <c r="X157" i="2"/>
  <c r="W157" i="2"/>
  <c r="V157" i="2"/>
  <c r="T157" i="2"/>
  <c r="S157" i="2"/>
  <c r="Q157" i="2"/>
  <c r="B157" i="2" s="1"/>
  <c r="O166" i="2"/>
  <c r="Y172" i="2"/>
  <c r="X172" i="2"/>
  <c r="W172" i="2"/>
  <c r="V172" i="2"/>
  <c r="T172" i="2"/>
  <c r="S172" i="2"/>
  <c r="P172" i="2"/>
  <c r="Y171" i="2"/>
  <c r="X171" i="2"/>
  <c r="W171" i="2"/>
  <c r="V171" i="2"/>
  <c r="T171" i="2"/>
  <c r="S171" i="2"/>
  <c r="P171" i="2"/>
  <c r="Y170" i="2"/>
  <c r="X170" i="2"/>
  <c r="W170" i="2"/>
  <c r="V170" i="2"/>
  <c r="T170" i="2"/>
  <c r="S170" i="2"/>
  <c r="P170" i="2"/>
  <c r="Q186" i="2"/>
  <c r="Y179" i="2"/>
  <c r="X179" i="2"/>
  <c r="W179" i="2"/>
  <c r="V179" i="2"/>
  <c r="T179" i="2"/>
  <c r="S179" i="2"/>
  <c r="U179" i="2" s="1"/>
  <c r="P179" i="2"/>
  <c r="Y178" i="2"/>
  <c r="X178" i="2"/>
  <c r="W178" i="2"/>
  <c r="V178" i="2"/>
  <c r="T178" i="2"/>
  <c r="S178" i="2"/>
  <c r="P178" i="2"/>
  <c r="Y177" i="2"/>
  <c r="X177" i="2"/>
  <c r="W177" i="2"/>
  <c r="V177" i="2"/>
  <c r="T177" i="2"/>
  <c r="S177" i="2"/>
  <c r="P177" i="2"/>
  <c r="Y176" i="2"/>
  <c r="X176" i="2"/>
  <c r="W176" i="2"/>
  <c r="V176" i="2"/>
  <c r="T176" i="2"/>
  <c r="S176" i="2"/>
  <c r="P176" i="2"/>
  <c r="Y175" i="2"/>
  <c r="X175" i="2"/>
  <c r="W175" i="2"/>
  <c r="V175" i="2"/>
  <c r="T175" i="2"/>
  <c r="S175" i="2"/>
  <c r="P175" i="2"/>
  <c r="Y174" i="2"/>
  <c r="X174" i="2"/>
  <c r="W174" i="2"/>
  <c r="V174" i="2"/>
  <c r="T174" i="2"/>
  <c r="S174" i="2"/>
  <c r="Y169" i="2"/>
  <c r="X169" i="2"/>
  <c r="W169" i="2"/>
  <c r="V169" i="2"/>
  <c r="T169" i="2"/>
  <c r="S169" i="2"/>
  <c r="P169" i="2"/>
  <c r="Y168" i="2"/>
  <c r="X168" i="2"/>
  <c r="W168" i="2"/>
  <c r="V168" i="2"/>
  <c r="T168" i="2"/>
  <c r="S168" i="2"/>
  <c r="P168" i="2"/>
  <c r="Y167" i="2"/>
  <c r="X167" i="2"/>
  <c r="W167" i="2"/>
  <c r="V167" i="2"/>
  <c r="T165" i="2"/>
  <c r="AH22" i="2" l="1"/>
  <c r="U172" i="2"/>
  <c r="U157" i="2"/>
  <c r="Q22" i="2"/>
  <c r="B22" i="2" s="1"/>
  <c r="U40" i="2"/>
  <c r="U45" i="2"/>
  <c r="U173" i="2"/>
  <c r="U175" i="2"/>
  <c r="N287" i="1"/>
  <c r="U177" i="2"/>
  <c r="U174" i="2"/>
  <c r="U171" i="2"/>
  <c r="U168" i="2"/>
  <c r="U170" i="2"/>
  <c r="U178" i="2"/>
  <c r="U169" i="2"/>
  <c r="U176" i="2"/>
  <c r="C10" i="2"/>
  <c r="C11" i="2" s="1"/>
  <c r="C12" i="2" s="1"/>
  <c r="C13" i="2" s="1"/>
  <c r="C14" i="2" s="1"/>
  <c r="C15" i="2" s="1"/>
  <c r="C16" i="2" s="1"/>
  <c r="C17" i="2" s="1"/>
  <c r="C18" i="2" s="1"/>
  <c r="Y49" i="2"/>
  <c r="X49" i="2"/>
  <c r="W49" i="2"/>
  <c r="V49" i="2"/>
  <c r="T49" i="2"/>
  <c r="S49" i="2"/>
  <c r="P49" i="2"/>
  <c r="S34" i="2"/>
  <c r="Y33" i="2"/>
  <c r="X33" i="2"/>
  <c r="W33" i="2"/>
  <c r="V33" i="2"/>
  <c r="T33" i="2"/>
  <c r="S33" i="2"/>
  <c r="P33" i="2"/>
  <c r="Y32" i="2"/>
  <c r="X32" i="2"/>
  <c r="W32" i="2"/>
  <c r="V32" i="2"/>
  <c r="T32" i="2"/>
  <c r="S32" i="2"/>
  <c r="P32" i="2"/>
  <c r="Y35" i="2"/>
  <c r="X35" i="2"/>
  <c r="W35" i="2"/>
  <c r="V35" i="2"/>
  <c r="T35" i="2"/>
  <c r="S35" i="2"/>
  <c r="C19" i="2" l="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U35" i="2"/>
  <c r="U33" i="2"/>
  <c r="U49" i="2"/>
  <c r="U32" i="2"/>
  <c r="S114" i="1"/>
  <c r="R114" i="1"/>
  <c r="T114" i="1"/>
  <c r="N28" i="1"/>
  <c r="N27" i="1"/>
  <c r="L26" i="1"/>
  <c r="N26" i="1" s="1"/>
  <c r="L25" i="1"/>
  <c r="L24" i="1"/>
  <c r="L23" i="1"/>
  <c r="L22" i="1"/>
  <c r="L21" i="1"/>
  <c r="L20" i="1"/>
  <c r="N20" i="1" s="1"/>
  <c r="L19" i="1"/>
  <c r="N19" i="1" s="1"/>
  <c r="L18" i="1"/>
  <c r="N18" i="1" s="1"/>
  <c r="L17" i="1"/>
  <c r="N17" i="1" s="1"/>
  <c r="N16" i="1"/>
  <c r="L15" i="1"/>
  <c r="N15" i="1" s="1"/>
  <c r="A14" i="1"/>
  <c r="A15" i="1" s="1"/>
  <c r="A16" i="1" s="1"/>
  <c r="A17" i="1" s="1"/>
  <c r="A18" i="1" s="1"/>
  <c r="A19" i="1" s="1"/>
  <c r="A20" i="1" s="1"/>
  <c r="A21" i="1" s="1"/>
  <c r="A22" i="1" s="1"/>
  <c r="A23" i="1" s="1"/>
  <c r="A24" i="1" s="1"/>
  <c r="A25" i="1" s="1"/>
  <c r="A26" i="1" s="1"/>
  <c r="L13" i="1"/>
  <c r="N13" i="1" s="1"/>
  <c r="Y36" i="2"/>
  <c r="X36" i="2"/>
  <c r="W36" i="2"/>
  <c r="V36" i="2"/>
  <c r="T36" i="2"/>
  <c r="S36" i="2"/>
  <c r="P36" i="2"/>
  <c r="AF23" i="2"/>
  <c r="AE23" i="2"/>
  <c r="Z23" i="2"/>
  <c r="Y23" i="2"/>
  <c r="X23" i="2"/>
  <c r="W23" i="2"/>
  <c r="S23" i="2"/>
  <c r="V23" i="2" s="1"/>
  <c r="P23" i="2"/>
  <c r="AG23" i="2" s="1"/>
  <c r="AF21" i="2"/>
  <c r="AE21" i="2"/>
  <c r="Z21" i="2"/>
  <c r="Y21" i="2"/>
  <c r="X21" i="2"/>
  <c r="W21" i="2"/>
  <c r="S21" i="2"/>
  <c r="V21" i="2" s="1"/>
  <c r="P21" i="2"/>
  <c r="AG21" i="2" s="1"/>
  <c r="Y19" i="2"/>
  <c r="X19" i="2"/>
  <c r="W19" i="2"/>
  <c r="V19" i="2"/>
  <c r="T19" i="2"/>
  <c r="S19" i="2"/>
  <c r="P19" i="2"/>
  <c r="Y47" i="2"/>
  <c r="X47" i="2"/>
  <c r="W47" i="2"/>
  <c r="V47" i="2"/>
  <c r="T47" i="2"/>
  <c r="S47" i="2"/>
  <c r="P47" i="2"/>
  <c r="Y46" i="2"/>
  <c r="X46" i="2"/>
  <c r="W46" i="2"/>
  <c r="V46" i="2"/>
  <c r="T46" i="2"/>
  <c r="S46" i="2"/>
  <c r="P46" i="2"/>
  <c r="Y42" i="2"/>
  <c r="X42" i="2"/>
  <c r="W42" i="2"/>
  <c r="V42" i="2"/>
  <c r="T42" i="2"/>
  <c r="S42" i="2"/>
  <c r="P42" i="2"/>
  <c r="P15" i="2"/>
  <c r="P16" i="2"/>
  <c r="Y10" i="2"/>
  <c r="X10" i="2"/>
  <c r="W10" i="2"/>
  <c r="V10" i="2"/>
  <c r="T10" i="2"/>
  <c r="S10" i="2"/>
  <c r="P10" i="2"/>
  <c r="Y16" i="2"/>
  <c r="X16" i="2"/>
  <c r="W16" i="2"/>
  <c r="V16" i="2"/>
  <c r="T16" i="2"/>
  <c r="S16" i="2"/>
  <c r="Y15" i="2"/>
  <c r="X15" i="2"/>
  <c r="W15" i="2"/>
  <c r="V15" i="2"/>
  <c r="T15" i="2"/>
  <c r="S15" i="2"/>
  <c r="Y12" i="2"/>
  <c r="X12" i="2"/>
  <c r="W12" i="2"/>
  <c r="V12" i="2"/>
  <c r="T12" i="2"/>
  <c r="S12" i="2"/>
  <c r="P12" i="2"/>
  <c r="Y13" i="2"/>
  <c r="X13" i="2"/>
  <c r="W13" i="2"/>
  <c r="V13" i="2"/>
  <c r="T13" i="2"/>
  <c r="S13" i="2"/>
  <c r="P13" i="2"/>
  <c r="Y14" i="2"/>
  <c r="X14" i="2"/>
  <c r="W14" i="2"/>
  <c r="V14" i="2"/>
  <c r="T14" i="2"/>
  <c r="S14" i="2"/>
  <c r="P14" i="2"/>
  <c r="Y37" i="2"/>
  <c r="X37" i="2"/>
  <c r="W37" i="2"/>
  <c r="V37" i="2"/>
  <c r="T37" i="2"/>
  <c r="S37" i="2"/>
  <c r="P37" i="2"/>
  <c r="Y43" i="2"/>
  <c r="X43" i="2"/>
  <c r="W43" i="2"/>
  <c r="V43" i="2"/>
  <c r="T43" i="2"/>
  <c r="S43" i="2"/>
  <c r="P43" i="2"/>
  <c r="Y29" i="2"/>
  <c r="X29" i="2"/>
  <c r="W29" i="2"/>
  <c r="V29" i="2"/>
  <c r="T29" i="2"/>
  <c r="S29" i="2"/>
  <c r="Y31" i="2"/>
  <c r="X31" i="2"/>
  <c r="W31" i="2"/>
  <c r="V31" i="2"/>
  <c r="T31" i="2"/>
  <c r="S31" i="2"/>
  <c r="Q57" i="2"/>
  <c r="Y50" i="2"/>
  <c r="X50" i="2"/>
  <c r="W50" i="2"/>
  <c r="V50" i="2"/>
  <c r="T50" i="2"/>
  <c r="S50" i="2"/>
  <c r="P50" i="2"/>
  <c r="Y11" i="2"/>
  <c r="X11" i="2"/>
  <c r="W11" i="2"/>
  <c r="V11" i="2"/>
  <c r="T11" i="2"/>
  <c r="S11" i="2"/>
  <c r="Y48" i="2"/>
  <c r="X48" i="2"/>
  <c r="W48" i="2"/>
  <c r="V48" i="2"/>
  <c r="T48" i="2"/>
  <c r="S48" i="2"/>
  <c r="P48" i="2"/>
  <c r="Y39" i="2"/>
  <c r="X39" i="2"/>
  <c r="W39" i="2"/>
  <c r="V39" i="2"/>
  <c r="T39" i="2"/>
  <c r="S39" i="2"/>
  <c r="P39" i="2"/>
  <c r="Y38" i="2"/>
  <c r="X38" i="2"/>
  <c r="W38" i="2"/>
  <c r="V38" i="2"/>
  <c r="T38" i="2"/>
  <c r="S38" i="2"/>
  <c r="P38" i="2"/>
  <c r="Y44" i="2"/>
  <c r="X44" i="2"/>
  <c r="W44" i="2"/>
  <c r="V44" i="2"/>
  <c r="T44" i="2"/>
  <c r="S44" i="2"/>
  <c r="P44" i="2"/>
  <c r="Y28" i="2"/>
  <c r="X28" i="2"/>
  <c r="W28" i="2"/>
  <c r="V28" i="2"/>
  <c r="T28" i="2"/>
  <c r="S28" i="2"/>
  <c r="Y34" i="2"/>
  <c r="X34" i="2"/>
  <c r="W34" i="2"/>
  <c r="V34" i="2"/>
  <c r="T34" i="2"/>
  <c r="P34" i="2"/>
  <c r="Y30" i="2"/>
  <c r="X30" i="2"/>
  <c r="W30" i="2"/>
  <c r="V30" i="2"/>
  <c r="T30" i="2"/>
  <c r="S30" i="2"/>
  <c r="P30" i="2"/>
  <c r="Y17" i="2"/>
  <c r="X17" i="2"/>
  <c r="W17" i="2"/>
  <c r="V17" i="2"/>
  <c r="T17" i="2"/>
  <c r="S17" i="2"/>
  <c r="P17" i="2"/>
  <c r="Y27" i="2"/>
  <c r="X27" i="2"/>
  <c r="W27" i="2"/>
  <c r="V27" i="2"/>
  <c r="T27" i="2"/>
  <c r="S27" i="2"/>
  <c r="P27" i="2"/>
  <c r="Y26" i="2"/>
  <c r="X26" i="2"/>
  <c r="W26" i="2"/>
  <c r="V26" i="2"/>
  <c r="T26" i="2"/>
  <c r="S26" i="2"/>
  <c r="P26" i="2"/>
  <c r="Y25" i="2"/>
  <c r="X25" i="2"/>
  <c r="W25" i="2"/>
  <c r="V25" i="2"/>
  <c r="T25" i="2"/>
  <c r="S25" i="2"/>
  <c r="P25" i="2"/>
  <c r="Y24" i="2"/>
  <c r="X24" i="2"/>
  <c r="W24" i="2"/>
  <c r="V24" i="2"/>
  <c r="T24" i="2"/>
  <c r="S24" i="2"/>
  <c r="P24" i="2"/>
  <c r="Y20" i="2"/>
  <c r="X20" i="2"/>
  <c r="W20" i="2"/>
  <c r="V20" i="2"/>
  <c r="T20" i="2"/>
  <c r="S20" i="2"/>
  <c r="P20" i="2"/>
  <c r="Y18" i="2"/>
  <c r="X18" i="2"/>
  <c r="W18" i="2"/>
  <c r="V18" i="2"/>
  <c r="T18" i="2"/>
  <c r="S18" i="2"/>
  <c r="P18" i="2"/>
  <c r="Y9" i="2"/>
  <c r="X9" i="2"/>
  <c r="W9" i="2"/>
  <c r="V9" i="2"/>
  <c r="T9" i="2"/>
  <c r="S9" i="2"/>
  <c r="P9" i="2"/>
  <c r="Y8" i="2"/>
  <c r="X8" i="2"/>
  <c r="W8" i="2"/>
  <c r="V8" i="2"/>
  <c r="U114" i="1" l="1"/>
  <c r="N23" i="1"/>
  <c r="N114" i="1"/>
  <c r="N24" i="1"/>
  <c r="N21" i="1"/>
  <c r="N22" i="1"/>
  <c r="N25" i="1"/>
  <c r="L29" i="1"/>
  <c r="U19" i="2"/>
  <c r="U36" i="2"/>
  <c r="AH21" i="2"/>
  <c r="AH23" i="2"/>
  <c r="U47" i="2"/>
  <c r="U10" i="2"/>
  <c r="U13" i="2"/>
  <c r="U15" i="2"/>
  <c r="U12" i="2"/>
  <c r="U43" i="2"/>
  <c r="U29" i="2"/>
  <c r="U46" i="2"/>
  <c r="U42" i="2"/>
  <c r="U16" i="2"/>
  <c r="U14" i="2"/>
  <c r="U37" i="2"/>
  <c r="U31" i="2"/>
  <c r="U18" i="2"/>
  <c r="U39" i="2"/>
  <c r="U30" i="2"/>
  <c r="U26" i="2"/>
  <c r="U44" i="2"/>
  <c r="U27" i="2"/>
  <c r="U9" i="2"/>
  <c r="U38" i="2"/>
  <c r="U20" i="2"/>
  <c r="U24" i="2"/>
  <c r="U25" i="2"/>
  <c r="U50" i="2"/>
  <c r="U11" i="2"/>
  <c r="U17" i="2"/>
  <c r="U34" i="2"/>
  <c r="U28" i="2"/>
  <c r="U48" i="2"/>
  <c r="G58" i="1"/>
  <c r="L135" i="1" l="1"/>
  <c r="Y88" i="2" l="1"/>
  <c r="X88" i="2"/>
  <c r="W88" i="2"/>
  <c r="V88" i="2"/>
  <c r="T88" i="2"/>
  <c r="S88" i="2"/>
  <c r="U88" i="2" l="1"/>
  <c r="L172" i="1"/>
  <c r="F18" i="3"/>
  <c r="D18" i="3"/>
  <c r="D17" i="3"/>
  <c r="E16" i="3"/>
  <c r="F16" i="3" s="1"/>
  <c r="D12" i="3"/>
  <c r="D11" i="3"/>
  <c r="E10" i="3"/>
  <c r="E11" i="3" s="1"/>
  <c r="E12" i="3" l="1"/>
  <c r="E18" i="3"/>
  <c r="D19" i="3"/>
  <c r="F17" i="3"/>
  <c r="F19" i="3" s="1"/>
  <c r="G16" i="3"/>
  <c r="G18" i="3" s="1"/>
  <c r="E17" i="3"/>
  <c r="E19" i="3" s="1"/>
  <c r="D13" i="3"/>
  <c r="F10" i="3"/>
  <c r="F12" i="3" s="1"/>
  <c r="E13" i="3"/>
  <c r="Y153" i="2"/>
  <c r="X153" i="2"/>
  <c r="W153" i="2"/>
  <c r="V153" i="2"/>
  <c r="T153" i="2"/>
  <c r="S153" i="2"/>
  <c r="P153" i="2"/>
  <c r="Y152" i="2"/>
  <c r="X152" i="2"/>
  <c r="W152" i="2"/>
  <c r="V152" i="2"/>
  <c r="T152" i="2"/>
  <c r="S152" i="2"/>
  <c r="P152" i="2"/>
  <c r="Y148" i="2"/>
  <c r="X148" i="2"/>
  <c r="W148" i="2"/>
  <c r="V148" i="2"/>
  <c r="T148" i="2"/>
  <c r="S148" i="2"/>
  <c r="P148" i="2"/>
  <c r="Y147" i="2"/>
  <c r="X147" i="2"/>
  <c r="W147" i="2"/>
  <c r="V147" i="2"/>
  <c r="T147" i="2"/>
  <c r="S147" i="2"/>
  <c r="P147" i="2"/>
  <c r="Y154" i="2"/>
  <c r="X154" i="2"/>
  <c r="W154" i="2"/>
  <c r="V154" i="2"/>
  <c r="T154" i="2"/>
  <c r="S154" i="2"/>
  <c r="U153" i="2" l="1"/>
  <c r="H16" i="3"/>
  <c r="H18" i="3" s="1"/>
  <c r="G17" i="3"/>
  <c r="G19" i="3" s="1"/>
  <c r="G10" i="3"/>
  <c r="F11" i="3"/>
  <c r="U148" i="2"/>
  <c r="U152" i="2"/>
  <c r="U154" i="2"/>
  <c r="U147" i="2"/>
  <c r="Y89" i="2"/>
  <c r="X89" i="2"/>
  <c r="W89" i="2"/>
  <c r="V89" i="2"/>
  <c r="T89" i="2"/>
  <c r="S89" i="2"/>
  <c r="F50" i="3"/>
  <c r="G12" i="3" l="1"/>
  <c r="C10" i="3"/>
  <c r="C12" i="3" s="1"/>
  <c r="I16" i="3"/>
  <c r="I18" i="3" s="1"/>
  <c r="H17" i="3"/>
  <c r="H19" i="3" s="1"/>
  <c r="F13" i="3"/>
  <c r="G11" i="3"/>
  <c r="H10" i="3"/>
  <c r="H12" i="3" s="1"/>
  <c r="U89" i="2"/>
  <c r="L7" i="1"/>
  <c r="K7" i="1"/>
  <c r="N7" i="1" s="1"/>
  <c r="D38" i="3"/>
  <c r="E34" i="3"/>
  <c r="E36" i="3" s="1"/>
  <c r="E39" i="3" s="1"/>
  <c r="D37" i="3"/>
  <c r="D36" i="3"/>
  <c r="D39" i="3" s="1"/>
  <c r="J16" i="3" l="1"/>
  <c r="J18" i="3" s="1"/>
  <c r="I17" i="3"/>
  <c r="I19" i="3" s="1"/>
  <c r="H11" i="3"/>
  <c r="I10" i="3"/>
  <c r="I12" i="3" s="1"/>
  <c r="G13" i="3"/>
  <c r="E38" i="3"/>
  <c r="F34" i="3"/>
  <c r="E37" i="3"/>
  <c r="J17" i="3" l="1"/>
  <c r="J19" i="3" s="1"/>
  <c r="K16" i="3"/>
  <c r="K18" i="3" s="1"/>
  <c r="I11" i="3"/>
  <c r="J10" i="3"/>
  <c r="J12" i="3" s="1"/>
  <c r="H13" i="3"/>
  <c r="G34" i="3"/>
  <c r="F36" i="3"/>
  <c r="F39" i="3" s="1"/>
  <c r="F37" i="3"/>
  <c r="F38" i="3"/>
  <c r="T121" i="2"/>
  <c r="L16" i="3" l="1"/>
  <c r="L18" i="3" s="1"/>
  <c r="K17" i="3"/>
  <c r="J11" i="3"/>
  <c r="K10" i="3"/>
  <c r="K12" i="3" s="1"/>
  <c r="I13" i="3"/>
  <c r="G36" i="3"/>
  <c r="G39" i="3" s="1"/>
  <c r="G38" i="3"/>
  <c r="G37" i="3"/>
  <c r="H34" i="3"/>
  <c r="S156" i="2"/>
  <c r="S155" i="2"/>
  <c r="S151" i="2"/>
  <c r="S150" i="2"/>
  <c r="S149" i="2"/>
  <c r="S146" i="2"/>
  <c r="S145" i="2"/>
  <c r="Q164" i="2"/>
  <c r="Y150" i="2"/>
  <c r="X150" i="2"/>
  <c r="W150" i="2"/>
  <c r="V150" i="2"/>
  <c r="T150" i="2"/>
  <c r="P150" i="2"/>
  <c r="Y149" i="2"/>
  <c r="X149" i="2"/>
  <c r="W149" i="2"/>
  <c r="V149" i="2"/>
  <c r="T149" i="2"/>
  <c r="P149" i="2"/>
  <c r="Y156" i="2"/>
  <c r="X156" i="2"/>
  <c r="W156" i="2"/>
  <c r="V156" i="2"/>
  <c r="T156" i="2"/>
  <c r="Y155" i="2"/>
  <c r="X155" i="2"/>
  <c r="W155" i="2"/>
  <c r="V155" i="2"/>
  <c r="T155" i="2"/>
  <c r="Y151" i="2"/>
  <c r="X151" i="2"/>
  <c r="W151" i="2"/>
  <c r="V151" i="2"/>
  <c r="T151" i="2"/>
  <c r="P151" i="2"/>
  <c r="Y146" i="2"/>
  <c r="X146" i="2"/>
  <c r="W146" i="2"/>
  <c r="V146" i="2"/>
  <c r="T146" i="2"/>
  <c r="P146" i="2"/>
  <c r="Y145" i="2"/>
  <c r="X145" i="2"/>
  <c r="W145" i="2"/>
  <c r="V145" i="2"/>
  <c r="T145" i="2"/>
  <c r="P145" i="2"/>
  <c r="Y144" i="2"/>
  <c r="X144" i="2"/>
  <c r="W144" i="2"/>
  <c r="V144" i="2"/>
  <c r="K19" i="3" l="1"/>
  <c r="L17" i="3"/>
  <c r="L19" i="3" s="1"/>
  <c r="M16" i="3"/>
  <c r="M18" i="3" s="1"/>
  <c r="K11" i="3"/>
  <c r="L10" i="3"/>
  <c r="L12" i="3" s="1"/>
  <c r="J13" i="3"/>
  <c r="H38" i="3"/>
  <c r="H37" i="3"/>
  <c r="I34" i="3"/>
  <c r="H36" i="3"/>
  <c r="H39" i="3" s="1"/>
  <c r="U150" i="2"/>
  <c r="U151" i="2"/>
  <c r="U149" i="2"/>
  <c r="U156" i="2"/>
  <c r="U145" i="2"/>
  <c r="U155" i="2"/>
  <c r="U146" i="2"/>
  <c r="H50" i="3"/>
  <c r="F44" i="3"/>
  <c r="E50" i="3"/>
  <c r="B50" i="3" s="1"/>
  <c r="E69" i="3"/>
  <c r="F69" i="3" s="1"/>
  <c r="C89" i="3"/>
  <c r="N16" i="3" l="1"/>
  <c r="N18" i="3" s="1"/>
  <c r="M17" i="3"/>
  <c r="M19" i="3" s="1"/>
  <c r="L11" i="3"/>
  <c r="M10" i="3"/>
  <c r="M12" i="3" s="1"/>
  <c r="K13" i="3"/>
  <c r="E63" i="3"/>
  <c r="I38" i="3"/>
  <c r="I37" i="3"/>
  <c r="J34" i="3"/>
  <c r="I36" i="3"/>
  <c r="I39" i="3" s="1"/>
  <c r="G50" i="3"/>
  <c r="E45" i="3"/>
  <c r="L218" i="1"/>
  <c r="L217" i="1"/>
  <c r="N217" i="1" s="1"/>
  <c r="L216" i="1"/>
  <c r="N216" i="1" s="1"/>
  <c r="L215" i="1"/>
  <c r="L214" i="1"/>
  <c r="L213" i="1"/>
  <c r="N213" i="1" s="1"/>
  <c r="L212" i="1"/>
  <c r="N212" i="1" s="1"/>
  <c r="L211" i="1"/>
  <c r="L210" i="1"/>
  <c r="L209" i="1"/>
  <c r="N209" i="1" s="1"/>
  <c r="A208" i="1"/>
  <c r="A209" i="1" s="1"/>
  <c r="A210" i="1" s="1"/>
  <c r="A211" i="1" s="1"/>
  <c r="A212" i="1" s="1"/>
  <c r="A213" i="1" s="1"/>
  <c r="A214" i="1" s="1"/>
  <c r="A215" i="1" s="1"/>
  <c r="A216" i="1" s="1"/>
  <c r="A217" i="1" s="1"/>
  <c r="A218" i="1" s="1"/>
  <c r="L207" i="1"/>
  <c r="N238" i="1"/>
  <c r="N17" i="3" l="1"/>
  <c r="N19" i="3" s="1"/>
  <c r="O16" i="3"/>
  <c r="O18" i="3" s="1"/>
  <c r="M11" i="3"/>
  <c r="N10" i="3"/>
  <c r="N12" i="3" s="1"/>
  <c r="L13" i="3"/>
  <c r="J38" i="3"/>
  <c r="J36" i="3"/>
  <c r="J39" i="3" s="1"/>
  <c r="K34" i="3"/>
  <c r="J37" i="3"/>
  <c r="N211" i="1"/>
  <c r="N215" i="1"/>
  <c r="N214" i="1"/>
  <c r="N218" i="1"/>
  <c r="N207" i="1"/>
  <c r="N210" i="1"/>
  <c r="L115" i="1"/>
  <c r="N115" i="1" s="1"/>
  <c r="L48" i="1"/>
  <c r="N48" i="1" s="1"/>
  <c r="L248" i="1"/>
  <c r="N248" i="1" s="1"/>
  <c r="P16" i="3" l="1"/>
  <c r="P18" i="3" s="1"/>
  <c r="O17" i="3"/>
  <c r="O19" i="3" s="1"/>
  <c r="N11" i="3"/>
  <c r="O10" i="3"/>
  <c r="O12" i="3" s="1"/>
  <c r="M13" i="3"/>
  <c r="K38" i="3"/>
  <c r="K37" i="3"/>
  <c r="L34" i="3"/>
  <c r="K36" i="3"/>
  <c r="K39" i="3" s="1"/>
  <c r="Y72" i="2"/>
  <c r="X72" i="2"/>
  <c r="W72" i="2"/>
  <c r="V72" i="2"/>
  <c r="T72" i="2"/>
  <c r="S72" i="2"/>
  <c r="P72" i="2"/>
  <c r="Y91" i="2"/>
  <c r="X91" i="2"/>
  <c r="W91" i="2"/>
  <c r="V91" i="2"/>
  <c r="T91" i="2"/>
  <c r="S91" i="2"/>
  <c r="Y90" i="2"/>
  <c r="X90" i="2"/>
  <c r="W90" i="2"/>
  <c r="V90" i="2"/>
  <c r="T90" i="2"/>
  <c r="S90" i="2"/>
  <c r="Y76" i="2"/>
  <c r="X76" i="2"/>
  <c r="W76" i="2"/>
  <c r="V76" i="2"/>
  <c r="T76" i="2"/>
  <c r="S76" i="2"/>
  <c r="P76" i="2"/>
  <c r="Q16" i="3" l="1"/>
  <c r="Q18" i="3" s="1"/>
  <c r="P17" i="3"/>
  <c r="P19" i="3" s="1"/>
  <c r="O11" i="3"/>
  <c r="P10" i="3"/>
  <c r="P12" i="3" s="1"/>
  <c r="N13" i="3"/>
  <c r="L38" i="3"/>
  <c r="L37" i="3"/>
  <c r="L36" i="3"/>
  <c r="L39" i="3" s="1"/>
  <c r="M34" i="3"/>
  <c r="U76" i="2"/>
  <c r="U72" i="2"/>
  <c r="U91" i="2"/>
  <c r="U90" i="2"/>
  <c r="F70" i="3"/>
  <c r="R16" i="3" l="1"/>
  <c r="R18" i="3" s="1"/>
  <c r="Q17" i="3"/>
  <c r="Q19" i="3" s="1"/>
  <c r="O13" i="3"/>
  <c r="P11" i="3"/>
  <c r="P13" i="3" s="1"/>
  <c r="Q10" i="3"/>
  <c r="Q12" i="3" s="1"/>
  <c r="M38" i="3"/>
  <c r="M37" i="3"/>
  <c r="N34" i="3"/>
  <c r="M36" i="3"/>
  <c r="M39" i="3" s="1"/>
  <c r="J89" i="3"/>
  <c r="J90" i="3" s="1"/>
  <c r="I89" i="3"/>
  <c r="K89" i="3" s="1"/>
  <c r="C83" i="3"/>
  <c r="B83" i="3" s="1"/>
  <c r="N88" i="3" s="1"/>
  <c r="E90" i="3"/>
  <c r="T86" i="3"/>
  <c r="O86" i="3"/>
  <c r="F84" i="3"/>
  <c r="F83" i="3"/>
  <c r="J70" i="3"/>
  <c r="I70" i="3"/>
  <c r="H69" i="3"/>
  <c r="K69" i="3" s="1"/>
  <c r="L69" i="3" s="1"/>
  <c r="E70" i="3"/>
  <c r="D70" i="3"/>
  <c r="C70" i="3"/>
  <c r="C90" i="3" s="1"/>
  <c r="D69" i="3"/>
  <c r="T66" i="3"/>
  <c r="O66" i="3"/>
  <c r="F64" i="3"/>
  <c r="C64" i="3"/>
  <c r="B64" i="3" s="1"/>
  <c r="S68" i="3" s="1"/>
  <c r="F63" i="3"/>
  <c r="B63" i="3"/>
  <c r="N68" i="3" s="1"/>
  <c r="E51" i="3"/>
  <c r="T47" i="3"/>
  <c r="O47" i="3"/>
  <c r="D51" i="3"/>
  <c r="D50" i="3"/>
  <c r="C45" i="3"/>
  <c r="B45" i="3" s="1"/>
  <c r="S49" i="3" s="1"/>
  <c r="C51" i="3"/>
  <c r="H51" i="3"/>
  <c r="F45" i="3"/>
  <c r="B44" i="3"/>
  <c r="N49" i="3" s="1"/>
  <c r="R17" i="3" l="1"/>
  <c r="R19" i="3" s="1"/>
  <c r="S16" i="3"/>
  <c r="Q11" i="3"/>
  <c r="R10" i="3"/>
  <c r="R12" i="3" s="1"/>
  <c r="N38" i="3"/>
  <c r="O34" i="3"/>
  <c r="N37" i="3"/>
  <c r="N36" i="3"/>
  <c r="N39" i="3" s="1"/>
  <c r="I90" i="3"/>
  <c r="K90" i="3" s="1"/>
  <c r="J51" i="3"/>
  <c r="I51" i="3" s="1"/>
  <c r="D89" i="3"/>
  <c r="D90" i="3"/>
  <c r="C84" i="3"/>
  <c r="B84" i="3" s="1"/>
  <c r="S88" i="3" s="1"/>
  <c r="U92" i="3"/>
  <c r="H89" i="3"/>
  <c r="B70" i="3"/>
  <c r="U68" i="3" s="1"/>
  <c r="V68" i="3" s="1"/>
  <c r="P92" i="3"/>
  <c r="H70" i="3"/>
  <c r="K70" i="3" s="1"/>
  <c r="L70" i="3" s="1"/>
  <c r="P72" i="3"/>
  <c r="C16" i="3" l="1"/>
  <c r="C18" i="3" s="1"/>
  <c r="S18" i="3"/>
  <c r="T16" i="3"/>
  <c r="T18" i="3" s="1"/>
  <c r="S17" i="3"/>
  <c r="R11" i="3"/>
  <c r="S10" i="3"/>
  <c r="S12" i="3" s="1"/>
  <c r="Q13" i="3"/>
  <c r="O38" i="3"/>
  <c r="P34" i="3"/>
  <c r="O36" i="3"/>
  <c r="O39" i="3" s="1"/>
  <c r="O37" i="3"/>
  <c r="L89" i="3"/>
  <c r="F89" i="3" s="1"/>
  <c r="E89" i="3" s="1"/>
  <c r="B89" i="3" s="1"/>
  <c r="H90" i="3"/>
  <c r="L90" i="3" s="1"/>
  <c r="F90" i="3" s="1"/>
  <c r="U72" i="3"/>
  <c r="B75" i="3"/>
  <c r="S72" i="3" s="1"/>
  <c r="Y93" i="2"/>
  <c r="X93" i="2"/>
  <c r="W93" i="2"/>
  <c r="V93" i="2"/>
  <c r="T93" i="2"/>
  <c r="S93" i="2"/>
  <c r="P93" i="2"/>
  <c r="S19" i="3" l="1"/>
  <c r="U16" i="3"/>
  <c r="U18" i="3" s="1"/>
  <c r="T17" i="3"/>
  <c r="T19" i="3" s="1"/>
  <c r="S11" i="3"/>
  <c r="T10" i="3"/>
  <c r="T12" i="3" s="1"/>
  <c r="R13" i="3"/>
  <c r="P37" i="3"/>
  <c r="P38" i="3"/>
  <c r="P36" i="3"/>
  <c r="P39" i="3" s="1"/>
  <c r="Q34" i="3"/>
  <c r="U93" i="2"/>
  <c r="G90" i="3"/>
  <c r="B90" i="3"/>
  <c r="P88" i="3"/>
  <c r="Q88" i="3" s="1"/>
  <c r="B94" i="3"/>
  <c r="N92" i="3" s="1"/>
  <c r="Q92" i="3" s="1"/>
  <c r="G89" i="3"/>
  <c r="V72" i="3"/>
  <c r="A79" i="1"/>
  <c r="A80" i="1" s="1"/>
  <c r="A81" i="1" s="1"/>
  <c r="A82" i="1" s="1"/>
  <c r="A83" i="1" s="1"/>
  <c r="A84" i="1" s="1"/>
  <c r="L47" i="1"/>
  <c r="Y98" i="2"/>
  <c r="X98" i="2"/>
  <c r="W98" i="2"/>
  <c r="V98" i="2"/>
  <c r="T98" i="2"/>
  <c r="S98" i="2"/>
  <c r="P98" i="2"/>
  <c r="N174" i="1"/>
  <c r="N175" i="1"/>
  <c r="N173" i="1"/>
  <c r="N176" i="1"/>
  <c r="L41" i="1"/>
  <c r="L42" i="1"/>
  <c r="L62" i="1"/>
  <c r="N62" i="1" s="1"/>
  <c r="L89" i="1"/>
  <c r="N89" i="1" s="1"/>
  <c r="L99" i="1"/>
  <c r="L103" i="1"/>
  <c r="N103" i="1" s="1"/>
  <c r="L101" i="1"/>
  <c r="N101" i="1" s="1"/>
  <c r="L102" i="1"/>
  <c r="N102" i="1" s="1"/>
  <c r="L93" i="1"/>
  <c r="N93" i="1" s="1"/>
  <c r="A85" i="1" l="1"/>
  <c r="A86" i="1" s="1"/>
  <c r="A87" i="1" s="1"/>
  <c r="V16" i="3"/>
  <c r="V18" i="3" s="1"/>
  <c r="U17" i="3"/>
  <c r="U19" i="3" s="1"/>
  <c r="T11" i="3"/>
  <c r="U10" i="3"/>
  <c r="U12" i="3" s="1"/>
  <c r="S13" i="3"/>
  <c r="Q38" i="3"/>
  <c r="R34" i="3"/>
  <c r="Q36" i="3"/>
  <c r="Q39" i="3" s="1"/>
  <c r="Q37" i="3"/>
  <c r="U98" i="2"/>
  <c r="B95" i="3"/>
  <c r="S92" i="3" s="1"/>
  <c r="V92" i="3" s="1"/>
  <c r="U88" i="3"/>
  <c r="V88" i="3" s="1"/>
  <c r="N47" i="1"/>
  <c r="N99" i="1"/>
  <c r="N41" i="1"/>
  <c r="N42" i="1"/>
  <c r="T104" i="2"/>
  <c r="T103" i="2"/>
  <c r="T102" i="2"/>
  <c r="T101" i="2"/>
  <c r="T100" i="2"/>
  <c r="T99" i="2"/>
  <c r="T97" i="2"/>
  <c r="T96" i="2"/>
  <c r="T95" i="2"/>
  <c r="T94" i="2"/>
  <c r="T92" i="2"/>
  <c r="T87" i="2"/>
  <c r="T86" i="2"/>
  <c r="T85" i="2"/>
  <c r="T84" i="2"/>
  <c r="T83" i="2"/>
  <c r="T82" i="2"/>
  <c r="T81" i="2"/>
  <c r="T80" i="2"/>
  <c r="T79" i="2"/>
  <c r="T78" i="2"/>
  <c r="T77" i="2"/>
  <c r="T75" i="2"/>
  <c r="T74" i="2"/>
  <c r="T73" i="2"/>
  <c r="T71" i="2"/>
  <c r="T131" i="2"/>
  <c r="T130" i="2"/>
  <c r="T129" i="2"/>
  <c r="T128" i="2"/>
  <c r="T127" i="2"/>
  <c r="T126" i="2"/>
  <c r="T125" i="2"/>
  <c r="T124" i="2"/>
  <c r="L236" i="1"/>
  <c r="N236" i="1" s="1"/>
  <c r="L235" i="1"/>
  <c r="N235" i="1" s="1"/>
  <c r="L234" i="1"/>
  <c r="N234" i="1" s="1"/>
  <c r="L233" i="1"/>
  <c r="N233" i="1" s="1"/>
  <c r="L232" i="1"/>
  <c r="N232" i="1" s="1"/>
  <c r="L231" i="1"/>
  <c r="N231" i="1" s="1"/>
  <c r="L230" i="1"/>
  <c r="J229" i="1"/>
  <c r="L228" i="1"/>
  <c r="N228" i="1" s="1"/>
  <c r="L227" i="1"/>
  <c r="N227" i="1" s="1"/>
  <c r="L226" i="1"/>
  <c r="N226" i="1" s="1"/>
  <c r="L225" i="1"/>
  <c r="L224" i="1"/>
  <c r="N224" i="1" s="1"/>
  <c r="L223" i="1"/>
  <c r="N223" i="1" s="1"/>
  <c r="L222" i="1"/>
  <c r="N222" i="1" s="1"/>
  <c r="L221" i="1"/>
  <c r="L220" i="1"/>
  <c r="A220" i="1"/>
  <c r="A221" i="1" s="1"/>
  <c r="A222" i="1" s="1"/>
  <c r="A223" i="1" s="1"/>
  <c r="A224" i="1" s="1"/>
  <c r="A225" i="1" s="1"/>
  <c r="A226" i="1" s="1"/>
  <c r="A227" i="1" s="1"/>
  <c r="A228" i="1" s="1"/>
  <c r="A229" i="1" s="1"/>
  <c r="A230" i="1" s="1"/>
  <c r="A231" i="1" s="1"/>
  <c r="A232" i="1" s="1"/>
  <c r="A233" i="1" s="1"/>
  <c r="A234" i="1" s="1"/>
  <c r="A235" i="1" s="1"/>
  <c r="A236" i="1" s="1"/>
  <c r="S219" i="1"/>
  <c r="R219" i="1"/>
  <c r="L219" i="1"/>
  <c r="N219" i="1" s="1"/>
  <c r="A88" i="1" l="1"/>
  <c r="A89" i="1" s="1"/>
  <c r="A90" i="1" s="1"/>
  <c r="A91" i="1" s="1"/>
  <c r="A92" i="1" s="1"/>
  <c r="A93" i="1" s="1"/>
  <c r="A94" i="1" s="1"/>
  <c r="A95" i="1" s="1"/>
  <c r="A96" i="1" s="1"/>
  <c r="A97" i="1" s="1"/>
  <c r="A98" i="1" s="1"/>
  <c r="A99" i="1" s="1"/>
  <c r="A100" i="1" s="1"/>
  <c r="A101" i="1" s="1"/>
  <c r="A102" i="1" s="1"/>
  <c r="A103" i="1" s="1"/>
  <c r="A104" i="1" s="1"/>
  <c r="V17" i="3"/>
  <c r="W16" i="3"/>
  <c r="W18" i="3" s="1"/>
  <c r="U11" i="3"/>
  <c r="V10" i="3"/>
  <c r="V12" i="3" s="1"/>
  <c r="T13" i="3"/>
  <c r="R38" i="3"/>
  <c r="R36" i="3"/>
  <c r="R39" i="3" s="1"/>
  <c r="R37" i="3"/>
  <c r="S34" i="3"/>
  <c r="N221" i="1"/>
  <c r="T219" i="1"/>
  <c r="U219" i="1" s="1"/>
  <c r="N225" i="1"/>
  <c r="N230" i="1"/>
  <c r="L229" i="1"/>
  <c r="N229" i="1" s="1"/>
  <c r="N220" i="1"/>
  <c r="W17" i="3" l="1"/>
  <c r="X16" i="3"/>
  <c r="X18" i="3" s="1"/>
  <c r="V19" i="3"/>
  <c r="V11" i="3"/>
  <c r="W10" i="3"/>
  <c r="W12" i="3" s="1"/>
  <c r="U13" i="3"/>
  <c r="S38" i="3"/>
  <c r="T34" i="3"/>
  <c r="S36" i="3"/>
  <c r="S39" i="3" s="1"/>
  <c r="S37" i="3"/>
  <c r="R140" i="1"/>
  <c r="N237" i="1"/>
  <c r="N199" i="1"/>
  <c r="N198" i="1"/>
  <c r="N188" i="1"/>
  <c r="N187" i="1"/>
  <c r="N185" i="1"/>
  <c r="N178" i="1"/>
  <c r="N177" i="1"/>
  <c r="N172" i="1"/>
  <c r="N171" i="1"/>
  <c r="N170" i="1"/>
  <c r="N169" i="1"/>
  <c r="N154" i="1"/>
  <c r="N52" i="1"/>
  <c r="N51" i="1"/>
  <c r="S131" i="2"/>
  <c r="U131" i="2" s="1"/>
  <c r="S130" i="2"/>
  <c r="U130" i="2" s="1"/>
  <c r="S129" i="2"/>
  <c r="U129" i="2" s="1"/>
  <c r="S128" i="2"/>
  <c r="U128" i="2" s="1"/>
  <c r="S127" i="2"/>
  <c r="U127" i="2" s="1"/>
  <c r="S126" i="2"/>
  <c r="U126" i="2" s="1"/>
  <c r="S125" i="2"/>
  <c r="U125" i="2" s="1"/>
  <c r="S124" i="2"/>
  <c r="U124" i="2" s="1"/>
  <c r="S104" i="2"/>
  <c r="U104" i="2" s="1"/>
  <c r="S103" i="2"/>
  <c r="U103" i="2" s="1"/>
  <c r="S102" i="2"/>
  <c r="U102" i="2" s="1"/>
  <c r="S101" i="2"/>
  <c r="U101" i="2" s="1"/>
  <c r="S100" i="2"/>
  <c r="U100" i="2" s="1"/>
  <c r="S99" i="2"/>
  <c r="U99" i="2" s="1"/>
  <c r="S97" i="2"/>
  <c r="U97" i="2" s="1"/>
  <c r="S96" i="2"/>
  <c r="U96" i="2" s="1"/>
  <c r="S95" i="2"/>
  <c r="U95" i="2" s="1"/>
  <c r="S94" i="2"/>
  <c r="U94" i="2" s="1"/>
  <c r="S92" i="2"/>
  <c r="U92" i="2" s="1"/>
  <c r="S87" i="2"/>
  <c r="U87" i="2" s="1"/>
  <c r="S86" i="2"/>
  <c r="U86" i="2" s="1"/>
  <c r="S85" i="2"/>
  <c r="U85" i="2" s="1"/>
  <c r="S84" i="2"/>
  <c r="U84" i="2" s="1"/>
  <c r="S83" i="2"/>
  <c r="U83" i="2" s="1"/>
  <c r="S82" i="2"/>
  <c r="U82" i="2" s="1"/>
  <c r="S81" i="2"/>
  <c r="U81" i="2" s="1"/>
  <c r="S80" i="2"/>
  <c r="U80" i="2" s="1"/>
  <c r="S79" i="2"/>
  <c r="U79" i="2" s="1"/>
  <c r="S78" i="2"/>
  <c r="U78" i="2" s="1"/>
  <c r="S77" i="2"/>
  <c r="U77" i="2" s="1"/>
  <c r="S75" i="2"/>
  <c r="U75" i="2" s="1"/>
  <c r="S74" i="2"/>
  <c r="U74" i="2" s="1"/>
  <c r="S73" i="2"/>
  <c r="U73" i="2" s="1"/>
  <c r="S71" i="2"/>
  <c r="U71" i="2" s="1"/>
  <c r="Y92" i="2"/>
  <c r="X92" i="2"/>
  <c r="W92" i="2"/>
  <c r="V92" i="2"/>
  <c r="P92" i="2"/>
  <c r="Y103" i="2"/>
  <c r="X103" i="2"/>
  <c r="W103" i="2"/>
  <c r="V103" i="2"/>
  <c r="P103" i="2"/>
  <c r="Y101" i="2"/>
  <c r="X101" i="2"/>
  <c r="W101" i="2"/>
  <c r="V101" i="2"/>
  <c r="P101" i="2"/>
  <c r="Y100" i="2"/>
  <c r="X100" i="2"/>
  <c r="W100" i="2"/>
  <c r="V100" i="2"/>
  <c r="P100" i="2"/>
  <c r="Y102" i="2"/>
  <c r="X102" i="2"/>
  <c r="W102" i="2"/>
  <c r="V102" i="2"/>
  <c r="P102" i="2"/>
  <c r="Y84" i="2"/>
  <c r="X84" i="2"/>
  <c r="W84" i="2"/>
  <c r="V84" i="2"/>
  <c r="P84" i="2"/>
  <c r="Y78" i="2"/>
  <c r="X78" i="2"/>
  <c r="W78" i="2"/>
  <c r="V78" i="2"/>
  <c r="P78" i="2"/>
  <c r="Y74" i="2"/>
  <c r="X74" i="2"/>
  <c r="W74" i="2"/>
  <c r="V74" i="2"/>
  <c r="P74" i="2"/>
  <c r="Y77" i="2"/>
  <c r="X77" i="2"/>
  <c r="W77" i="2"/>
  <c r="V77" i="2"/>
  <c r="P77" i="2"/>
  <c r="Y75" i="2"/>
  <c r="X75" i="2"/>
  <c r="W75" i="2"/>
  <c r="V75" i="2"/>
  <c r="P75" i="2"/>
  <c r="Y95" i="2"/>
  <c r="X95" i="2"/>
  <c r="W95" i="2"/>
  <c r="V95" i="2"/>
  <c r="P95" i="2"/>
  <c r="Y86" i="2"/>
  <c r="X86" i="2"/>
  <c r="W86" i="2"/>
  <c r="V86" i="2"/>
  <c r="P86" i="2"/>
  <c r="Y81" i="2"/>
  <c r="X81" i="2"/>
  <c r="W81" i="2"/>
  <c r="V81" i="2"/>
  <c r="P81" i="2"/>
  <c r="Y80" i="2"/>
  <c r="X80" i="2"/>
  <c r="W80" i="2"/>
  <c r="V80" i="2"/>
  <c r="P80" i="2"/>
  <c r="A37" i="1"/>
  <c r="A38" i="1" s="1"/>
  <c r="A39" i="1" s="1"/>
  <c r="A40" i="1" s="1"/>
  <c r="A41" i="1" s="1"/>
  <c r="A42" i="1" s="1"/>
  <c r="A43" i="1" s="1"/>
  <c r="A44" i="1" s="1"/>
  <c r="A45" i="1" s="1"/>
  <c r="A46" i="1" s="1"/>
  <c r="L38" i="1"/>
  <c r="N38" i="1" s="1"/>
  <c r="Y73" i="2"/>
  <c r="X73" i="2"/>
  <c r="W73" i="2"/>
  <c r="V73" i="2"/>
  <c r="P73" i="2"/>
  <c r="Y96" i="2"/>
  <c r="X96" i="2"/>
  <c r="W96" i="2"/>
  <c r="V96" i="2"/>
  <c r="P96" i="2"/>
  <c r="Y85" i="2"/>
  <c r="X85" i="2"/>
  <c r="W85" i="2"/>
  <c r="V85" i="2"/>
  <c r="P85" i="2"/>
  <c r="Y87" i="2"/>
  <c r="X87" i="2"/>
  <c r="W87" i="2"/>
  <c r="V87" i="2"/>
  <c r="P87" i="2"/>
  <c r="Y94" i="2"/>
  <c r="X94" i="2"/>
  <c r="W94" i="2"/>
  <c r="V94" i="2"/>
  <c r="P94" i="2"/>
  <c r="Y97" i="2"/>
  <c r="X97" i="2"/>
  <c r="W97" i="2"/>
  <c r="V97" i="2"/>
  <c r="P97" i="2"/>
  <c r="Q111" i="2"/>
  <c r="Y104" i="2"/>
  <c r="X104" i="2"/>
  <c r="W104" i="2"/>
  <c r="V104" i="2"/>
  <c r="P104" i="2"/>
  <c r="Y99" i="2"/>
  <c r="X99" i="2"/>
  <c r="W99" i="2"/>
  <c r="V99" i="2"/>
  <c r="P99" i="2"/>
  <c r="Y82" i="2"/>
  <c r="X82" i="2"/>
  <c r="W82" i="2"/>
  <c r="V82" i="2"/>
  <c r="P82" i="2"/>
  <c r="Y79" i="2"/>
  <c r="X79" i="2"/>
  <c r="W79" i="2"/>
  <c r="V79" i="2"/>
  <c r="P79" i="2"/>
  <c r="Y83" i="2"/>
  <c r="X83" i="2"/>
  <c r="W83" i="2"/>
  <c r="V83" i="2"/>
  <c r="P83" i="2"/>
  <c r="Y71" i="2"/>
  <c r="X71" i="2"/>
  <c r="W71" i="2"/>
  <c r="V71" i="2"/>
  <c r="P71" i="2"/>
  <c r="Y70" i="2"/>
  <c r="X70" i="2"/>
  <c r="W70" i="2"/>
  <c r="V70" i="2"/>
  <c r="L168" i="1"/>
  <c r="N168" i="1" s="1"/>
  <c r="L46" i="1"/>
  <c r="L44" i="1"/>
  <c r="N44" i="1" s="1"/>
  <c r="L83" i="1"/>
  <c r="N83" i="1" s="1"/>
  <c r="L61" i="1"/>
  <c r="A61" i="1"/>
  <c r="A62" i="1" s="1"/>
  <c r="A63" i="1" s="1"/>
  <c r="A64" i="1" s="1"/>
  <c r="A65" i="1" s="1"/>
  <c r="A66" i="1" s="1"/>
  <c r="A67" i="1" s="1"/>
  <c r="A68" i="1" s="1"/>
  <c r="L165" i="1"/>
  <c r="L78" i="1"/>
  <c r="N78" i="1" s="1"/>
  <c r="L66" i="1"/>
  <c r="L50" i="1"/>
  <c r="N50" i="1" s="1"/>
  <c r="L49" i="1"/>
  <c r="N49" i="1" s="1"/>
  <c r="L45" i="1"/>
  <c r="N45" i="1" s="1"/>
  <c r="L43" i="1"/>
  <c r="L39" i="1"/>
  <c r="N39" i="1" s="1"/>
  <c r="L36" i="1"/>
  <c r="L67" i="1"/>
  <c r="N67" i="1" s="1"/>
  <c r="L162" i="1"/>
  <c r="L167" i="1"/>
  <c r="A165" i="1"/>
  <c r="P124" i="2"/>
  <c r="P125" i="2"/>
  <c r="P126" i="2"/>
  <c r="P127" i="2"/>
  <c r="P128" i="2"/>
  <c r="P129" i="2"/>
  <c r="P130" i="2"/>
  <c r="P131" i="2"/>
  <c r="L195" i="1"/>
  <c r="N195" i="1" s="1"/>
  <c r="L196" i="1"/>
  <c r="N196" i="1" s="1"/>
  <c r="L197" i="1"/>
  <c r="N197" i="1" s="1"/>
  <c r="L80" i="1"/>
  <c r="L81" i="1"/>
  <c r="L84" i="1"/>
  <c r="N86" i="1"/>
  <c r="L82" i="1"/>
  <c r="N82" i="1" s="1"/>
  <c r="L88" i="1"/>
  <c r="L90" i="1"/>
  <c r="L91" i="1"/>
  <c r="N91" i="1" s="1"/>
  <c r="L92" i="1"/>
  <c r="L94" i="1"/>
  <c r="L96" i="1"/>
  <c r="N96" i="1" s="1"/>
  <c r="L97" i="1"/>
  <c r="L98" i="1"/>
  <c r="L100" i="1"/>
  <c r="N100" i="1" s="1"/>
  <c r="L95" i="1"/>
  <c r="L104" i="1"/>
  <c r="N104" i="1" s="1"/>
  <c r="L186" i="1"/>
  <c r="L60" i="1"/>
  <c r="N60" i="1" s="1"/>
  <c r="L68" i="1"/>
  <c r="N68" i="1" s="1"/>
  <c r="L63" i="1"/>
  <c r="L64" i="1"/>
  <c r="N64" i="1" s="1"/>
  <c r="L65" i="1"/>
  <c r="N65" i="1" s="1"/>
  <c r="L116" i="1"/>
  <c r="L117" i="1"/>
  <c r="N117" i="1" s="1"/>
  <c r="L118" i="1"/>
  <c r="L119" i="1"/>
  <c r="N119" i="1" s="1"/>
  <c r="L120" i="1"/>
  <c r="N120" i="1" s="1"/>
  <c r="L122" i="1"/>
  <c r="L123" i="1"/>
  <c r="J124" i="1"/>
  <c r="L121" i="1"/>
  <c r="L125" i="1"/>
  <c r="N125" i="1" s="1"/>
  <c r="L126" i="1"/>
  <c r="L127" i="1"/>
  <c r="N127" i="1" s="1"/>
  <c r="L128" i="1"/>
  <c r="L129" i="1"/>
  <c r="N129" i="1" s="1"/>
  <c r="L130" i="1"/>
  <c r="L131" i="1"/>
  <c r="N131" i="1" s="1"/>
  <c r="L9" i="1"/>
  <c r="N9" i="1" s="1"/>
  <c r="L247" i="1"/>
  <c r="L140" i="1"/>
  <c r="L141" i="1"/>
  <c r="L143" i="1"/>
  <c r="N143" i="1" s="1"/>
  <c r="L144" i="1"/>
  <c r="N144" i="1" s="1"/>
  <c r="J145" i="1"/>
  <c r="L142" i="1"/>
  <c r="N142" i="1" s="1"/>
  <c r="L146" i="1"/>
  <c r="L147" i="1"/>
  <c r="L148" i="1"/>
  <c r="N148" i="1" s="1"/>
  <c r="L149" i="1"/>
  <c r="N149" i="1" s="1"/>
  <c r="L150" i="1"/>
  <c r="L151" i="1"/>
  <c r="L152" i="1"/>
  <c r="N152" i="1" s="1"/>
  <c r="A116" i="1"/>
  <c r="A117" i="1" s="1"/>
  <c r="A118" i="1" s="1"/>
  <c r="A196" i="1"/>
  <c r="A197" i="1" s="1"/>
  <c r="Y128" i="2"/>
  <c r="X128" i="2"/>
  <c r="W128" i="2"/>
  <c r="V128" i="2"/>
  <c r="Y127" i="2"/>
  <c r="X127" i="2"/>
  <c r="W127" i="2"/>
  <c r="V127" i="2"/>
  <c r="Y126" i="2"/>
  <c r="X126" i="2"/>
  <c r="W126" i="2"/>
  <c r="V126" i="2"/>
  <c r="Y125" i="2"/>
  <c r="X125" i="2"/>
  <c r="W125" i="2"/>
  <c r="V125" i="2"/>
  <c r="Q138" i="2"/>
  <c r="Y131" i="2"/>
  <c r="X131" i="2"/>
  <c r="W131" i="2"/>
  <c r="V131" i="2"/>
  <c r="Y130" i="2"/>
  <c r="X130" i="2"/>
  <c r="W130" i="2"/>
  <c r="V130" i="2"/>
  <c r="Y129" i="2"/>
  <c r="X129" i="2"/>
  <c r="W129" i="2"/>
  <c r="V129" i="2"/>
  <c r="Y124" i="2"/>
  <c r="X124" i="2"/>
  <c r="W124" i="2"/>
  <c r="V124" i="2"/>
  <c r="Y123" i="2"/>
  <c r="X123" i="2"/>
  <c r="W123" i="2"/>
  <c r="V123" i="2"/>
  <c r="Q172" i="2" l="1"/>
  <c r="B172" i="2" s="1"/>
  <c r="Q171" i="2"/>
  <c r="B171" i="2" s="1"/>
  <c r="Q170" i="2"/>
  <c r="B170" i="2" s="1"/>
  <c r="Q176" i="2"/>
  <c r="B176" i="2" s="1"/>
  <c r="Q168" i="2"/>
  <c r="Q178" i="2"/>
  <c r="B178" i="2" s="1"/>
  <c r="Q169" i="2"/>
  <c r="B169" i="2" s="1"/>
  <c r="Q177" i="2"/>
  <c r="B177" i="2" s="1"/>
  <c r="Q181" i="2"/>
  <c r="Q179" i="2"/>
  <c r="B179" i="2" s="1"/>
  <c r="Q180" i="2"/>
  <c r="Q175" i="2"/>
  <c r="B175" i="2" s="1"/>
  <c r="Q32" i="2"/>
  <c r="B32" i="2" s="1"/>
  <c r="Q49" i="2"/>
  <c r="B49" i="2" s="1"/>
  <c r="Q33" i="2"/>
  <c r="B33" i="2" s="1"/>
  <c r="Q34" i="2"/>
  <c r="B34" i="2" s="1"/>
  <c r="Q36" i="2"/>
  <c r="B36" i="2" s="1"/>
  <c r="Q35" i="2"/>
  <c r="B35" i="2" s="1"/>
  <c r="Q19" i="2"/>
  <c r="B19" i="2" s="1"/>
  <c r="Q21" i="2"/>
  <c r="B21" i="2" s="1"/>
  <c r="Q24" i="2"/>
  <c r="B24" i="2" s="1"/>
  <c r="Q23" i="2"/>
  <c r="B23" i="2" s="1"/>
  <c r="Q46" i="2"/>
  <c r="B46" i="2" s="1"/>
  <c r="Q47" i="2"/>
  <c r="B47" i="2" s="1"/>
  <c r="Q42" i="2"/>
  <c r="B42" i="2" s="1"/>
  <c r="Q10" i="2"/>
  <c r="B10" i="2" s="1"/>
  <c r="Q12" i="2"/>
  <c r="B12" i="2" s="1"/>
  <c r="Q15" i="2"/>
  <c r="B15" i="2" s="1"/>
  <c r="Q16" i="2"/>
  <c r="B16" i="2" s="1"/>
  <c r="Q13" i="2"/>
  <c r="B13" i="2" s="1"/>
  <c r="Q14" i="2"/>
  <c r="B14" i="2" s="1"/>
  <c r="Q43" i="2"/>
  <c r="B43" i="2" s="1"/>
  <c r="Q37" i="2"/>
  <c r="B37" i="2" s="1"/>
  <c r="Q31" i="2"/>
  <c r="B31" i="2" s="1"/>
  <c r="Q29" i="2"/>
  <c r="B29" i="2" s="1"/>
  <c r="Q48" i="2"/>
  <c r="B48" i="2" s="1"/>
  <c r="Q52" i="2"/>
  <c r="Q51" i="2"/>
  <c r="Q28" i="2"/>
  <c r="B28" i="2" s="1"/>
  <c r="Q17" i="2"/>
  <c r="B17" i="2" s="1"/>
  <c r="Q30" i="2"/>
  <c r="B30" i="2" s="1"/>
  <c r="Q44" i="2"/>
  <c r="B44" i="2" s="1"/>
  <c r="Q25" i="2"/>
  <c r="B25" i="2" s="1"/>
  <c r="Q11" i="2"/>
  <c r="B11" i="2" s="1"/>
  <c r="Q50" i="2"/>
  <c r="B50" i="2" s="1"/>
  <c r="Q18" i="2"/>
  <c r="B18" i="2" s="1"/>
  <c r="Q9" i="2"/>
  <c r="B9" i="2" s="1"/>
  <c r="Q38" i="2"/>
  <c r="B38" i="2" s="1"/>
  <c r="Q20" i="2"/>
  <c r="B20" i="2" s="1"/>
  <c r="Q27" i="2"/>
  <c r="B27" i="2" s="1"/>
  <c r="Q26" i="2"/>
  <c r="B26" i="2" s="1"/>
  <c r="Q39" i="2"/>
  <c r="B39" i="2" s="1"/>
  <c r="Q88" i="2"/>
  <c r="B88" i="2" s="1"/>
  <c r="A166" i="1"/>
  <c r="A167" i="1" s="1"/>
  <c r="A168" i="1" s="1"/>
  <c r="A169" i="1" s="1"/>
  <c r="A170" i="1" s="1"/>
  <c r="A171" i="1" s="1"/>
  <c r="A172" i="1" s="1"/>
  <c r="A173" i="1" s="1"/>
  <c r="A174" i="1" s="1"/>
  <c r="A175" i="1" s="1"/>
  <c r="A176" i="1" s="1"/>
  <c r="Y16" i="3"/>
  <c r="Y18" i="3" s="1"/>
  <c r="X17" i="3"/>
  <c r="W19" i="3"/>
  <c r="W11" i="3"/>
  <c r="W13" i="3" s="1"/>
  <c r="X10" i="3"/>
  <c r="X12" i="3" s="1"/>
  <c r="V13" i="3"/>
  <c r="T38" i="3"/>
  <c r="U34" i="3"/>
  <c r="T36" i="3"/>
  <c r="T39" i="3" s="1"/>
  <c r="T37" i="3"/>
  <c r="Q152" i="2"/>
  <c r="B152" i="2" s="1"/>
  <c r="Q153" i="2"/>
  <c r="B153" i="2" s="1"/>
  <c r="Q148" i="2"/>
  <c r="B148" i="2" s="1"/>
  <c r="Q147" i="2"/>
  <c r="B147" i="2" s="1"/>
  <c r="Q154" i="2"/>
  <c r="B154" i="2" s="1"/>
  <c r="Q89" i="2"/>
  <c r="B89" i="2" s="1"/>
  <c r="O143" i="2"/>
  <c r="Q159" i="2"/>
  <c r="Q158" i="2"/>
  <c r="Q149" i="2"/>
  <c r="B149" i="2" s="1"/>
  <c r="Q150" i="2"/>
  <c r="B150" i="2" s="1"/>
  <c r="Q156" i="2"/>
  <c r="B156" i="2" s="1"/>
  <c r="Q155" i="2"/>
  <c r="B155" i="2" s="1"/>
  <c r="Q151" i="2"/>
  <c r="Q146" i="2"/>
  <c r="B146" i="2" s="1"/>
  <c r="Q145" i="2"/>
  <c r="B145" i="2" s="1"/>
  <c r="A47" i="1"/>
  <c r="A48" i="1" s="1"/>
  <c r="A49" i="1" s="1"/>
  <c r="A50" i="1" s="1"/>
  <c r="Q72" i="2"/>
  <c r="B72" i="2" s="1"/>
  <c r="Q71" i="2"/>
  <c r="Q76" i="2"/>
  <c r="B76" i="2" s="1"/>
  <c r="Q90" i="2"/>
  <c r="B90" i="2" s="1"/>
  <c r="Q91" i="2"/>
  <c r="B91" i="2" s="1"/>
  <c r="A119" i="1"/>
  <c r="A120" i="1" s="1"/>
  <c r="A121" i="1" s="1"/>
  <c r="A122" i="1" s="1"/>
  <c r="A123" i="1" s="1"/>
  <c r="A124" i="1" s="1"/>
  <c r="A125" i="1" s="1"/>
  <c r="A126" i="1" s="1"/>
  <c r="A127" i="1" s="1"/>
  <c r="A128" i="1" s="1"/>
  <c r="A129" i="1" s="1"/>
  <c r="A130" i="1" s="1"/>
  <c r="A131" i="1" s="1"/>
  <c r="A140" i="1"/>
  <c r="A141" i="1" s="1"/>
  <c r="Q98" i="2"/>
  <c r="B98" i="2" s="1"/>
  <c r="Q93" i="2"/>
  <c r="B93" i="2" s="1"/>
  <c r="Q132" i="2"/>
  <c r="O122" i="2"/>
  <c r="L145" i="1"/>
  <c r="N145" i="1" s="1"/>
  <c r="N126" i="1"/>
  <c r="N128" i="1"/>
  <c r="N43" i="1"/>
  <c r="N150" i="1"/>
  <c r="N123" i="1"/>
  <c r="N116" i="1"/>
  <c r="N66" i="1"/>
  <c r="N121" i="1"/>
  <c r="N81" i="1"/>
  <c r="N85" i="1"/>
  <c r="N247" i="1"/>
  <c r="N63" i="1"/>
  <c r="N95" i="1"/>
  <c r="N36" i="1"/>
  <c r="N122" i="1"/>
  <c r="N94" i="1"/>
  <c r="N165" i="1"/>
  <c r="N140" i="1"/>
  <c r="N118" i="1"/>
  <c r="N98" i="1"/>
  <c r="N90" i="1"/>
  <c r="N167" i="1"/>
  <c r="N61" i="1"/>
  <c r="N146" i="1"/>
  <c r="N130" i="1"/>
  <c r="N186" i="1"/>
  <c r="N97" i="1"/>
  <c r="N92" i="1"/>
  <c r="N88" i="1"/>
  <c r="N79" i="1"/>
  <c r="N162" i="1"/>
  <c r="N46" i="1"/>
  <c r="N151" i="1"/>
  <c r="N147" i="1"/>
  <c r="N141" i="1"/>
  <c r="L124" i="1"/>
  <c r="N84" i="1"/>
  <c r="N80" i="1"/>
  <c r="Q125" i="2"/>
  <c r="B125" i="2" s="1"/>
  <c r="Q104" i="2"/>
  <c r="B104" i="2" s="1"/>
  <c r="Q85" i="2"/>
  <c r="B85" i="2" s="1"/>
  <c r="Q78" i="2"/>
  <c r="B78" i="2" s="1"/>
  <c r="Q130" i="2"/>
  <c r="B130" i="2" s="1"/>
  <c r="Q73" i="2"/>
  <c r="B73" i="2" s="1"/>
  <c r="Q83" i="2"/>
  <c r="B83" i="2" s="1"/>
  <c r="Q128" i="2"/>
  <c r="B128" i="2" s="1"/>
  <c r="Q87" i="2"/>
  <c r="B87" i="2" s="1"/>
  <c r="Q100" i="2"/>
  <c r="Q106" i="2"/>
  <c r="Q124" i="2"/>
  <c r="B124" i="2" s="1"/>
  <c r="Q81" i="2"/>
  <c r="B81" i="2" s="1"/>
  <c r="Q96" i="2"/>
  <c r="B96" i="2" s="1"/>
  <c r="Q82" i="2"/>
  <c r="B82" i="2" s="1"/>
  <c r="Q75" i="2"/>
  <c r="B75" i="2" s="1"/>
  <c r="Q99" i="2"/>
  <c r="B99" i="2" s="1"/>
  <c r="Q92" i="2"/>
  <c r="B92" i="2" s="1"/>
  <c r="Q80" i="2"/>
  <c r="B80" i="2" s="1"/>
  <c r="Q103" i="2"/>
  <c r="B103" i="2" s="1"/>
  <c r="Q133" i="2"/>
  <c r="Q95" i="2"/>
  <c r="B95" i="2" s="1"/>
  <c r="Q79" i="2"/>
  <c r="B79" i="2" s="1"/>
  <c r="Q97" i="2"/>
  <c r="B97" i="2" s="1"/>
  <c r="Q126" i="2"/>
  <c r="B126" i="2" s="1"/>
  <c r="Q84" i="2"/>
  <c r="B84" i="2" s="1"/>
  <c r="Q131" i="2"/>
  <c r="B131" i="2" s="1"/>
  <c r="Q129" i="2"/>
  <c r="B129" i="2" s="1"/>
  <c r="Q86" i="2"/>
  <c r="B86" i="2" s="1"/>
  <c r="Q94" i="2"/>
  <c r="B94" i="2" s="1"/>
  <c r="Q74" i="2"/>
  <c r="B74" i="2" s="1"/>
  <c r="Q101" i="2"/>
  <c r="B101" i="2" s="1"/>
  <c r="Q127" i="2"/>
  <c r="B127" i="2" s="1"/>
  <c r="Q77" i="2"/>
  <c r="B77" i="2" s="1"/>
  <c r="Q102" i="2"/>
  <c r="B102" i="2" s="1"/>
  <c r="N40" i="1"/>
  <c r="L53" i="1"/>
  <c r="N200" i="1"/>
  <c r="L69" i="1"/>
  <c r="A142" i="1" l="1"/>
  <c r="A143" i="1" s="1"/>
  <c r="A144" i="1" s="1"/>
  <c r="A145" i="1" s="1"/>
  <c r="A146" i="1" s="1"/>
  <c r="A147" i="1" s="1"/>
  <c r="A148" i="1" s="1"/>
  <c r="A149" i="1" s="1"/>
  <c r="A150" i="1" s="1"/>
  <c r="A151" i="1" s="1"/>
  <c r="A152" i="1" s="1"/>
  <c r="B168" i="2"/>
  <c r="Q53" i="2"/>
  <c r="J14" i="1" s="1"/>
  <c r="X19" i="3"/>
  <c r="Z16" i="3"/>
  <c r="Z18" i="3" s="1"/>
  <c r="Y17" i="3"/>
  <c r="Y19" i="3" s="1"/>
  <c r="X11" i="3"/>
  <c r="X13" i="3" s="1"/>
  <c r="Y10" i="3"/>
  <c r="Y12" i="3" s="1"/>
  <c r="U38" i="3"/>
  <c r="V34" i="3"/>
  <c r="U36" i="3"/>
  <c r="U39" i="3" s="1"/>
  <c r="U37" i="3"/>
  <c r="Q160" i="2"/>
  <c r="B151" i="2"/>
  <c r="B123" i="2"/>
  <c r="N189" i="1"/>
  <c r="N155" i="1"/>
  <c r="N69" i="1"/>
  <c r="N124" i="1"/>
  <c r="Q134" i="2"/>
  <c r="J87" i="1" s="1"/>
  <c r="Q107" i="2"/>
  <c r="J166" i="1" l="1"/>
  <c r="L166" i="1" s="1"/>
  <c r="N174" i="2"/>
  <c r="P174" i="2" s="1"/>
  <c r="Q174" i="2" s="1"/>
  <c r="N14" i="1"/>
  <c r="B70" i="2"/>
  <c r="B69" i="2" s="1"/>
  <c r="B8" i="2" s="1"/>
  <c r="B7" i="2" s="1"/>
  <c r="J208" i="1"/>
  <c r="N208" i="1" s="1"/>
  <c r="Z17" i="3"/>
  <c r="Y11" i="3"/>
  <c r="Z10" i="3"/>
  <c r="Z12" i="3" s="1"/>
  <c r="V38" i="3"/>
  <c r="V36" i="3"/>
  <c r="V39" i="3" s="1"/>
  <c r="V37" i="3"/>
  <c r="W34" i="3"/>
  <c r="N134" i="1"/>
  <c r="J37" i="1"/>
  <c r="B174" i="2" l="1"/>
  <c r="B167" i="2" s="1"/>
  <c r="Q182" i="2"/>
  <c r="N29" i="1"/>
  <c r="N72" i="1" s="1"/>
  <c r="N166" i="1"/>
  <c r="C17" i="3"/>
  <c r="Z19" i="3"/>
  <c r="Z11" i="3"/>
  <c r="Y13" i="3"/>
  <c r="W38" i="3"/>
  <c r="W36" i="3"/>
  <c r="W39" i="3" s="1"/>
  <c r="W37" i="3"/>
  <c r="X34" i="3"/>
  <c r="N239" i="1"/>
  <c r="N37" i="1"/>
  <c r="N87" i="1"/>
  <c r="J282" i="1" l="1"/>
  <c r="N31" i="1"/>
  <c r="N282" i="1"/>
  <c r="N294" i="1" s="1"/>
  <c r="N241" i="1"/>
  <c r="N179" i="1"/>
  <c r="C19" i="3"/>
  <c r="C11" i="3"/>
  <c r="Z13" i="3"/>
  <c r="X38" i="3"/>
  <c r="X37" i="3"/>
  <c r="Y34" i="3"/>
  <c r="X36" i="3"/>
  <c r="X39" i="3" s="1"/>
  <c r="N53" i="1"/>
  <c r="N55" i="1" s="1"/>
  <c r="N107" i="1"/>
  <c r="C7" i="1" l="1"/>
  <c r="C13" i="3"/>
  <c r="Y38" i="3"/>
  <c r="Y37" i="3"/>
  <c r="Z34" i="3"/>
  <c r="Y36" i="3"/>
  <c r="Y39" i="3" s="1"/>
  <c r="C34" i="3" l="1"/>
  <c r="Z38" i="3"/>
  <c r="C38" i="3" s="1"/>
  <c r="Z36" i="3"/>
  <c r="Z37" i="3"/>
  <c r="C37" i="3" s="1"/>
  <c r="Z39" i="3" l="1"/>
  <c r="C39" i="3" s="1"/>
  <c r="C36" i="3"/>
  <c r="G69" i="3"/>
  <c r="G70" i="3" s="1"/>
  <c r="B69" i="3"/>
  <c r="P68" i="3" s="1"/>
  <c r="Q68" i="3" s="1"/>
  <c r="B74" i="3" l="1"/>
  <c r="N72" i="3" s="1"/>
  <c r="Q72" i="3" s="1"/>
  <c r="K50" i="3"/>
  <c r="L50" i="3" l="1"/>
  <c r="P53" i="3"/>
  <c r="F51" i="3"/>
  <c r="B51" i="3" s="1"/>
  <c r="K51" i="3" l="1"/>
  <c r="G51" i="3"/>
  <c r="L51" i="3" l="1"/>
  <c r="U53" i="3"/>
  <c r="B56" i="3"/>
  <c r="S53" i="3" s="1"/>
  <c r="U49" i="3"/>
  <c r="V49" i="3" s="1"/>
  <c r="V53" i="3" l="1"/>
  <c r="P49" i="3"/>
  <c r="Q49" i="3" s="1"/>
  <c r="B55" i="3"/>
  <c r="N53" i="3" s="1"/>
  <c r="Q53" i="3" s="1"/>
</calcChain>
</file>

<file path=xl/sharedStrings.xml><?xml version="1.0" encoding="utf-8"?>
<sst xmlns="http://schemas.openxmlformats.org/spreadsheetml/2006/main" count="2692" uniqueCount="826">
  <si>
    <t>Steve Alvey  403-870-7210</t>
  </si>
  <si>
    <t>Battery Charger</t>
  </si>
  <si>
    <t>Exchange</t>
  </si>
  <si>
    <t>Prod Run</t>
  </si>
  <si>
    <t>Part #</t>
  </si>
  <si>
    <t>Assem</t>
  </si>
  <si>
    <t>Name</t>
  </si>
  <si>
    <t>Description</t>
  </si>
  <si>
    <t>Location</t>
  </si>
  <si>
    <t>Vendor</t>
  </si>
  <si>
    <t>Vendor Part #</t>
  </si>
  <si>
    <t>Lead time</t>
  </si>
  <si>
    <t>Pur/Fab</t>
  </si>
  <si>
    <t>Cost CDN</t>
  </si>
  <si>
    <t>Cost US</t>
  </si>
  <si>
    <t>shipping</t>
  </si>
  <si>
    <t>Quan</t>
  </si>
  <si>
    <t>Total cost</t>
  </si>
  <si>
    <t>Required</t>
  </si>
  <si>
    <t>On-Hand</t>
  </si>
  <si>
    <t>Order</t>
  </si>
  <si>
    <t>A</t>
  </si>
  <si>
    <t>SS chassis</t>
  </si>
  <si>
    <t>top</t>
  </si>
  <si>
    <t>P</t>
  </si>
  <si>
    <t>B&amp;E Electronincs</t>
  </si>
  <si>
    <t>AND180HRP</t>
  </si>
  <si>
    <t>back</t>
  </si>
  <si>
    <t>F</t>
  </si>
  <si>
    <t>bottom</t>
  </si>
  <si>
    <t>inside</t>
  </si>
  <si>
    <t>Alvey</t>
  </si>
  <si>
    <t>J7 Windlass harness</t>
  </si>
  <si>
    <t>J11 - rudder drive harness</t>
  </si>
  <si>
    <t>Q047</t>
  </si>
  <si>
    <t>drive pedestal</t>
  </si>
  <si>
    <t>mounting pedestal</t>
  </si>
  <si>
    <t>D030</t>
  </si>
  <si>
    <t>pushrod</t>
  </si>
  <si>
    <t>pushrod fairlead</t>
  </si>
  <si>
    <t>3/16" fastpin</t>
  </si>
  <si>
    <t>Bolt Supply</t>
  </si>
  <si>
    <t>Assembly</t>
  </si>
  <si>
    <t>Mark-up</t>
  </si>
  <si>
    <t>Development costs - amortization</t>
  </si>
  <si>
    <t>Published Retail Price</t>
  </si>
  <si>
    <t>Orders</t>
  </si>
  <si>
    <t>Total Sales Value</t>
  </si>
  <si>
    <t>W</t>
  </si>
  <si>
    <t>Chassis (2 part)</t>
  </si>
  <si>
    <t>chassis</t>
  </si>
  <si>
    <t>winch drums</t>
  </si>
  <si>
    <t>Cover</t>
  </si>
  <si>
    <t>cover</t>
  </si>
  <si>
    <t>Rubber feet</t>
  </si>
  <si>
    <t>High output RED LED</t>
  </si>
  <si>
    <t>indicator lamp</t>
  </si>
  <si>
    <t>power cord</t>
  </si>
  <si>
    <t>Winch motor</t>
  </si>
  <si>
    <t>Groschopp</t>
  </si>
  <si>
    <t>Winch hubs</t>
  </si>
  <si>
    <t>winch hubs</t>
  </si>
  <si>
    <t>BRC Engineering</t>
  </si>
  <si>
    <t>Winch drums</t>
  </si>
  <si>
    <t>woodruff keys</t>
  </si>
  <si>
    <t>1/8" x 1/8"</t>
  </si>
  <si>
    <t>spades - females</t>
  </si>
  <si>
    <t>cable ties</t>
  </si>
  <si>
    <t>Cleat</t>
  </si>
  <si>
    <t>Winch hub bolts</t>
  </si>
  <si>
    <t>Winch hub washers</t>
  </si>
  <si>
    <t>Winch hub set screws</t>
  </si>
  <si>
    <t>1/4" x 1" fastpin</t>
  </si>
  <si>
    <t>Manufacturing Cost - Windlass</t>
  </si>
  <si>
    <t>S</t>
  </si>
  <si>
    <t>S&amp;P Module</t>
  </si>
  <si>
    <t>Electrosonic</t>
  </si>
  <si>
    <t>tube strain relief</t>
  </si>
  <si>
    <t>3/4" strain relief</t>
  </si>
  <si>
    <t>1/4" tubing</t>
  </si>
  <si>
    <t>S&amp;P</t>
  </si>
  <si>
    <t>1/4" "Y" connector</t>
  </si>
  <si>
    <t>S&amp;P Harness</t>
  </si>
  <si>
    <t>Base plate</t>
  </si>
  <si>
    <t>2.5" x 6" aluminum</t>
  </si>
  <si>
    <t>Velcro</t>
  </si>
  <si>
    <t>1" hooks</t>
  </si>
  <si>
    <t>Base boss</t>
  </si>
  <si>
    <t>1" round x 1"</t>
  </si>
  <si>
    <t>Locline 1/8" neat fitting</t>
  </si>
  <si>
    <t>Flex tube - 1/8 thread pkg of 8</t>
  </si>
  <si>
    <t>Moore Industrial  735-6113</t>
  </si>
  <si>
    <t>ED41405</t>
  </si>
  <si>
    <t>Locline F/F adaptor</t>
  </si>
  <si>
    <t>Flex tube  F/F adaptor pkg of 8</t>
  </si>
  <si>
    <t>Moore Industrial</t>
  </si>
  <si>
    <t>ED41409</t>
  </si>
  <si>
    <t>Locline 1/4" segment</t>
  </si>
  <si>
    <t>Flex tube - 25 feet bulk</t>
  </si>
  <si>
    <t>ED49420</t>
  </si>
  <si>
    <t>Mouth boss</t>
  </si>
  <si>
    <t>1" round x 2.5"</t>
  </si>
  <si>
    <t>Pneumatic tubing</t>
  </si>
  <si>
    <t>5'  1/16" twin tubing</t>
  </si>
  <si>
    <t>2J-006-10</t>
  </si>
  <si>
    <t>Luer connector - 1/16 tube</t>
  </si>
  <si>
    <t>Luer connector for 1/16" -1/8" tubing</t>
  </si>
  <si>
    <t>Value Plastics 1-970-223-8306</t>
  </si>
  <si>
    <t>MTLR210-1</t>
  </si>
  <si>
    <t>Luer connector - collar (green)</t>
  </si>
  <si>
    <t>1/4" O.D. tubing "nut" female - red</t>
  </si>
  <si>
    <t>MLLR-3</t>
  </si>
  <si>
    <t>Luer connector - collar (red)</t>
  </si>
  <si>
    <t>1/4" O.D. tubing "nut" female - green</t>
  </si>
  <si>
    <t>MLLR-4</t>
  </si>
  <si>
    <t>Luer connector - nut (green)</t>
  </si>
  <si>
    <t>1/16" I.D. tubing "nut" red - male</t>
  </si>
  <si>
    <t>K10-3</t>
  </si>
  <si>
    <t>Luer connector - nut (red)</t>
  </si>
  <si>
    <t>1/16" I.D. tubing "nut" green - male</t>
  </si>
  <si>
    <t>K10-4</t>
  </si>
  <si>
    <t>mouth pipe</t>
  </si>
  <si>
    <t>1/4" O.D. polypropylene tube</t>
  </si>
  <si>
    <t>Home Depot</t>
  </si>
  <si>
    <t>wiring harness</t>
  </si>
  <si>
    <t>BM</t>
  </si>
  <si>
    <t>internal shock pads</t>
  </si>
  <si>
    <t>M16 deck</t>
  </si>
  <si>
    <t>AK</t>
  </si>
  <si>
    <t>fairlead fasteners</t>
  </si>
  <si>
    <t>pushrod turnbuckle end</t>
  </si>
  <si>
    <t>Triad Fasteners</t>
  </si>
  <si>
    <t>Address</t>
  </si>
  <si>
    <t>RCR CY20204</t>
  </si>
  <si>
    <t>MYT 47325</t>
  </si>
  <si>
    <t>000</t>
  </si>
  <si>
    <t>3M  SJ 3551</t>
  </si>
  <si>
    <t>Dual-lock velcro</t>
  </si>
  <si>
    <t>Sip &amp; Puff stalk with chest mounting plate (personal)</t>
  </si>
  <si>
    <t>Component #</t>
  </si>
  <si>
    <t>PCB</t>
  </si>
  <si>
    <t>604-276-9717</t>
  </si>
  <si>
    <t>DigiKey</t>
  </si>
  <si>
    <t>800-344-4539</t>
  </si>
  <si>
    <t>D1</t>
  </si>
  <si>
    <t>1N4148MSCT-ND</t>
  </si>
  <si>
    <t>signal diode</t>
  </si>
  <si>
    <t>relay diodes</t>
  </si>
  <si>
    <t>P3104-ND</t>
  </si>
  <si>
    <t>0.1 microfarad polypropelene cap (64V)</t>
  </si>
  <si>
    <t>motor drive suppressor cap</t>
  </si>
  <si>
    <t>K1</t>
  </si>
  <si>
    <t>aux Motor relays</t>
  </si>
  <si>
    <t>J2</t>
  </si>
  <si>
    <t>J3</t>
  </si>
  <si>
    <t>1KEBK-ND</t>
  </si>
  <si>
    <t>1K - 1% 1/8 W resistor</t>
  </si>
  <si>
    <t>10KEBK-ND</t>
  </si>
  <si>
    <t>Assembly/Test</t>
  </si>
  <si>
    <t>J10 - J17</t>
  </si>
  <si>
    <t>3548K-ND</t>
  </si>
  <si>
    <t>Keystone .187 female spade</t>
  </si>
  <si>
    <t>S1, S2, S3, S4</t>
  </si>
  <si>
    <t>X05543</t>
  </si>
  <si>
    <t>MPL-502-range B  micro switch</t>
  </si>
  <si>
    <t>Sip &amp; puff switches</t>
  </si>
  <si>
    <t>Micro Pnuematic Logic Inc.  1-888-386-4270</t>
  </si>
  <si>
    <t>954-788-3611</t>
  </si>
  <si>
    <t>555 SW 12 Ave, 204, Pompano Beach FL 33069</t>
  </si>
  <si>
    <t>C1</t>
  </si>
  <si>
    <t>2.5" x 2.5" single sided PCB</t>
  </si>
  <si>
    <t>R1</t>
  </si>
  <si>
    <t xml:space="preserve">D2 </t>
  </si>
  <si>
    <t>PCB3</t>
  </si>
  <si>
    <t>J1, J3</t>
  </si>
  <si>
    <t>PCB spade connector for cable</t>
  </si>
  <si>
    <t>.250 female solder spade</t>
  </si>
  <si>
    <t>W PCB</t>
  </si>
  <si>
    <t>PCB spade connector for motor and switch</t>
  </si>
  <si>
    <t>3528K-ND</t>
  </si>
  <si>
    <t>Manufacturing Cost - Windlass PCB</t>
  </si>
  <si>
    <t>IML</t>
  </si>
  <si>
    <t>RayMarine Inc.</t>
  </si>
  <si>
    <t xml:space="preserve">Enclosure </t>
  </si>
  <si>
    <t>NEMA 4 fiberglass box</t>
  </si>
  <si>
    <t>Manufacturing Cost - subassemblies</t>
  </si>
  <si>
    <t>U.S. Exchange</t>
  </si>
  <si>
    <t xml:space="preserve">R132-104-000 </t>
  </si>
  <si>
    <t>1000 microfarad ELECTROLYTIC (16V) cap</t>
  </si>
  <si>
    <t>+12V power supply</t>
  </si>
  <si>
    <t>Zener diode – 20V 500W bi-directional</t>
  </si>
  <si>
    <t>P5142-ND</t>
  </si>
  <si>
    <t>IML fabricated assembly</t>
  </si>
  <si>
    <t>Allied Electronics</t>
  </si>
  <si>
    <t>Abbott Boats Inc.</t>
  </si>
  <si>
    <t>Aerotech Specialty Welding</t>
  </si>
  <si>
    <t>Joystick/Windlass connector</t>
  </si>
  <si>
    <t>labels</t>
  </si>
  <si>
    <t>Published List Price</t>
  </si>
  <si>
    <t>McMaster Carr</t>
  </si>
  <si>
    <t>Lithium Battery Module</t>
  </si>
  <si>
    <t>ETX18B</t>
  </si>
  <si>
    <t>Pelican 1120 enclosure</t>
  </si>
  <si>
    <t>Bulgin 3-pin female- chassis mount</t>
  </si>
  <si>
    <t>18AH (equivalent) Li-ion battery</t>
  </si>
  <si>
    <t>EarthX Li-ion battery - 18AH</t>
  </si>
  <si>
    <t>EV-100 tiller drive</t>
  </si>
  <si>
    <t>SS end cap</t>
  </si>
  <si>
    <t>Mouser</t>
  </si>
  <si>
    <t>reverse polarity protection</t>
  </si>
  <si>
    <t>power diode</t>
  </si>
  <si>
    <t>C9</t>
  </si>
  <si>
    <t>R9</t>
  </si>
  <si>
    <t>10V DPDT reversing relay (20A)</t>
  </si>
  <si>
    <t>SA20CADICT-ND</t>
  </si>
  <si>
    <t>.250 male solder spade</t>
  </si>
  <si>
    <t>817-FTR-P2CN010W1</t>
  </si>
  <si>
    <t>Optimal Cases and Lights</t>
  </si>
  <si>
    <t>Total Cost base - Mk V Joystick Module</t>
  </si>
  <si>
    <t>Manufacturing Cost - Mk V Joystick Module</t>
  </si>
  <si>
    <t>US $ 1,395</t>
  </si>
  <si>
    <t>Joystick - switched</t>
  </si>
  <si>
    <t>Suzo-Happ</t>
  </si>
  <si>
    <t>SUZO HAPP 4 WAY JOYSTICK PSM-30 W/.250" SWITCH BLACK</t>
  </si>
  <si>
    <t>50-0155-00</t>
  </si>
  <si>
    <t>EV-100 Helm Drive Connector</t>
  </si>
  <si>
    <t>Mk V Joystick Module (Switched joystick)</t>
  </si>
  <si>
    <t>Pelican Case 1610</t>
  </si>
  <si>
    <t>shipping case with wheels</t>
  </si>
  <si>
    <t>Optimal Cases &amp; Lights</t>
  </si>
  <si>
    <t>Pelican 1610 Protector Case with foam insert</t>
  </si>
  <si>
    <t xml:space="preserve">Pelican 1120 Protector Case without foam insert  </t>
  </si>
  <si>
    <t>M16 Battery Charger (Lithium Battery Module)</t>
  </si>
  <si>
    <t>M16 Power Assist System - Adaptor Kit</t>
  </si>
  <si>
    <t>Manufacturing Cost - M16 Power Assist System - Adaptor Kit</t>
  </si>
  <si>
    <t>Manufacturing Cost - Lithium Battery Charger</t>
  </si>
  <si>
    <t>Manufacturing Cost - Lithium Battery Module</t>
  </si>
  <si>
    <t>Manufacturing Cost - Sip &amp; Puff stalk with chest mounting plate</t>
  </si>
  <si>
    <t>Inventory</t>
  </si>
  <si>
    <t>Value</t>
  </si>
  <si>
    <t>Power Assist labeling</t>
  </si>
  <si>
    <t>Bulgin 3-pin male cable</t>
  </si>
  <si>
    <t>Abbott Boats</t>
  </si>
  <si>
    <t>EarthX Batteries</t>
  </si>
  <si>
    <t>winch drum quick release</t>
  </si>
  <si>
    <t>internal</t>
  </si>
  <si>
    <t>48" long 5 (or 6) 16 GA conductor cable</t>
  </si>
  <si>
    <t>Power cord connector</t>
  </si>
  <si>
    <t>Allied 70099241   PX-0738/S</t>
  </si>
  <si>
    <t>Allied 70099206   PX-0739/P</t>
  </si>
  <si>
    <t>Allied 70099204    PX-0731/P</t>
  </si>
  <si>
    <t>Aliied 70099239 PX-0730/S</t>
  </si>
  <si>
    <t>power cord connector</t>
  </si>
  <si>
    <t>connector dust cap</t>
  </si>
  <si>
    <t>Bulgin dust cap</t>
  </si>
  <si>
    <t>Bulgin 6-pin male cable connector</t>
  </si>
  <si>
    <t>Bulgin 6-pin female- chassis mount</t>
  </si>
  <si>
    <t>Allied 70099262   PX-0733</t>
  </si>
  <si>
    <t>RB-DIM-47</t>
  </si>
  <si>
    <t>Sabretooth 2x32A (Dimension Engineering)</t>
  </si>
  <si>
    <t>Robot Shop.com</t>
  </si>
  <si>
    <t>Dual PWM Controller (brushed DC)</t>
  </si>
  <si>
    <t>chassis overlays (3 parts: A,B,C)</t>
  </si>
  <si>
    <t>Mk V PCB  (introduced Oct 2018)</t>
  </si>
  <si>
    <t>flying lead spade connector for joystick</t>
  </si>
  <si>
    <t>joystick reference</t>
  </si>
  <si>
    <t>relay coil resistor</t>
  </si>
  <si>
    <t>motor drive suppressor diode</t>
  </si>
  <si>
    <t>J20 - J27</t>
  </si>
  <si>
    <t>298-10283-ND</t>
  </si>
  <si>
    <t>.250 90 degree insulated crimp connector</t>
  </si>
  <si>
    <t>Ampco</t>
  </si>
  <si>
    <t xml:space="preserve">99003-04 &amp; 05 </t>
  </si>
  <si>
    <t>from EarthX Batteries</t>
  </si>
  <si>
    <t>Mk V PCB</t>
  </si>
  <si>
    <t>integration &amp; S&amp;P PCB</t>
  </si>
  <si>
    <t>Manufacturing Cost - Mk V PCB</t>
  </si>
  <si>
    <t>Manufacturing Cost - Sip &amp; Puff (embedded in Mk V)</t>
  </si>
  <si>
    <t>47RQBK-ND</t>
  </si>
  <si>
    <t>.200 Euroconnector - 5-pin - PCB header</t>
  </si>
  <si>
    <t>277-1153-ND</t>
  </si>
  <si>
    <t>.200 Euroconnector - 2-pin - PCB term block</t>
  </si>
  <si>
    <t>PTC1</t>
  </si>
  <si>
    <t>PTC2</t>
  </si>
  <si>
    <t>Polythermal current limiter - 14A</t>
  </si>
  <si>
    <t>Polythermal current limiter - 9A</t>
  </si>
  <si>
    <t>9A PTC</t>
  </si>
  <si>
    <t>14A PTC</t>
  </si>
  <si>
    <t>indicator LEDs</t>
  </si>
  <si>
    <t>K2</t>
  </si>
  <si>
    <t>Z2307-ND</t>
  </si>
  <si>
    <t>main power relay - reverse polarity protect</t>
  </si>
  <si>
    <t>reverse polarity protect - main power relay</t>
  </si>
  <si>
    <t>OMRON G2R-1A-E  2068W1  12V/16A</t>
  </si>
  <si>
    <t>H1</t>
  </si>
  <si>
    <t>H2</t>
  </si>
  <si>
    <t>H3</t>
  </si>
  <si>
    <t>H4</t>
  </si>
  <si>
    <t>Quayle Electronics</t>
  </si>
  <si>
    <t>DC motor drive relay</t>
  </si>
  <si>
    <t>6-32 threaded standoff post - 1"</t>
  </si>
  <si>
    <t>6-32 threaded screw - 1 1/2"</t>
  </si>
  <si>
    <t>8-32 threaded stand-off post - 1/4"</t>
  </si>
  <si>
    <t>6-32 threaded screw - 3/8"</t>
  </si>
  <si>
    <t>NYPS-63238</t>
  </si>
  <si>
    <t>NYPS-632112</t>
  </si>
  <si>
    <t>14HTSP010</t>
  </si>
  <si>
    <t>14HTSP011</t>
  </si>
  <si>
    <t>D6, D7</t>
  </si>
  <si>
    <t>Z1</t>
  </si>
  <si>
    <t>D9, D11, D12</t>
  </si>
  <si>
    <t>.100 3-pin stick header</t>
  </si>
  <si>
    <t>RC Receiver connector</t>
  </si>
  <si>
    <t>RC RX</t>
  </si>
  <si>
    <t>LED resistor</t>
  </si>
  <si>
    <t>Relay drive connector</t>
  </si>
  <si>
    <t>PCB mounting hardware</t>
  </si>
  <si>
    <t>Mk V Development costs - amortization</t>
  </si>
  <si>
    <t>Manufacturing Cost - Power Assist Mk V Joystick System</t>
  </si>
  <si>
    <t>US $ 2,392</t>
  </si>
  <si>
    <t>US $ 2,320</t>
  </si>
  <si>
    <t>US $ 160</t>
  </si>
  <si>
    <t>US $ 352</t>
  </si>
  <si>
    <t>US $ 150</t>
  </si>
  <si>
    <t>Mk V Sip &amp; Puff Module (RELAY)</t>
  </si>
  <si>
    <t>Manufacturing Cost - Mk V Sip &amp; Puff Module (RELAY)</t>
  </si>
  <si>
    <t>MPL pnuematic switch</t>
  </si>
  <si>
    <t>MPL switch PCB connector</t>
  </si>
  <si>
    <t>Phone</t>
  </si>
  <si>
    <t>277-1065-ND</t>
  </si>
  <si>
    <t>277-1027-ND</t>
  </si>
  <si>
    <t>1N4007-E3/54GICT-ND</t>
  </si>
  <si>
    <t>497-2512-1-ND</t>
  </si>
  <si>
    <t>BAT48 40V schotky diode</t>
  </si>
  <si>
    <t>Fastener for cleat</t>
  </si>
  <si>
    <t>#10 x 32 x 1.5" FH S.S. machine screw</t>
  </si>
  <si>
    <t>1/16" SS wire</t>
  </si>
  <si>
    <t>1/16" nicopress</t>
  </si>
  <si>
    <t>3883T22 (pack of 50)</t>
  </si>
  <si>
    <t>8909T12 (50 foot roll)</t>
  </si>
  <si>
    <t>98404A959</t>
  </si>
  <si>
    <t>1/8" poly tubing - 12" length</t>
  </si>
  <si>
    <t>5233K52  (100 feet)</t>
  </si>
  <si>
    <t>Fastener for motor</t>
  </si>
  <si>
    <t xml:space="preserve">8mm snap-in LED bezel </t>
  </si>
  <si>
    <t>5/16" x 1/2" x 20 SS allen set screw</t>
  </si>
  <si>
    <t>Fastener for joystick</t>
  </si>
  <si>
    <t>joystick</t>
  </si>
  <si>
    <t>1/4" adhesive-backed rubber pads</t>
  </si>
  <si>
    <t>anti-skid pads</t>
  </si>
  <si>
    <t>surplus from each battery</t>
  </si>
  <si>
    <t>surplus with each battery</t>
  </si>
  <si>
    <t>warning to user label</t>
  </si>
  <si>
    <t>crimp connector</t>
  </si>
  <si>
    <t>BLUE 1/4" ring crimp connector</t>
  </si>
  <si>
    <t>BLUE #10 ring crimp connector</t>
  </si>
  <si>
    <t>YELLOW 1/4" ring crimp connector</t>
  </si>
  <si>
    <t>YELLOW #10 ring crimp connector</t>
  </si>
  <si>
    <t>J30 - J33</t>
  </si>
  <si>
    <t>90298A707</t>
  </si>
  <si>
    <t>1/2" x 1/2" SS shoulder screw</t>
  </si>
  <si>
    <t>Fastener for PCB</t>
  </si>
  <si>
    <t>M4 x 5mm hex head SS screw</t>
  </si>
  <si>
    <t>94500A281</t>
  </si>
  <si>
    <t>M4 x 20mm hex head SS screw</t>
  </si>
  <si>
    <t>94500A283</t>
  </si>
  <si>
    <t>91828A231</t>
  </si>
  <si>
    <t>95647A137</t>
  </si>
  <si>
    <t>power cord grip</t>
  </si>
  <si>
    <t>strain relief grip for power cord</t>
  </si>
  <si>
    <t>M4 hex head SS nut</t>
  </si>
  <si>
    <t>54" long x .375" O.D. SS tube (custom)</t>
  </si>
  <si>
    <t>EV-100 pedestal mount</t>
  </si>
  <si>
    <t>helm linear actuator</t>
  </si>
  <si>
    <t>helm linear actuator - connector</t>
  </si>
  <si>
    <t>helm linear actuator - power cord</t>
  </si>
  <si>
    <t>7082K26</t>
  </si>
  <si>
    <t>2 conductor 18GA insulated cable - 42"</t>
  </si>
  <si>
    <t>Martin 16 tiller arm with power assist arm</t>
  </si>
  <si>
    <t>power assist tiller</t>
  </si>
  <si>
    <t>SS end cap for EV-100</t>
  </si>
  <si>
    <t>EV-100</t>
  </si>
  <si>
    <t>Martin 16</t>
  </si>
  <si>
    <t>motor</t>
  </si>
  <si>
    <t>high brightness RED LED (30mA) pg 583</t>
  </si>
  <si>
    <t>high brightness GREEN LED (30mA) pg 583</t>
  </si>
  <si>
    <t>P461-ND</t>
  </si>
  <si>
    <t>XLM2MR12W</t>
  </si>
  <si>
    <t>.200 Euroconnector - 5-pin - term block PLUG</t>
  </si>
  <si>
    <t>GST</t>
  </si>
  <si>
    <t>R1, R2, R5, R10, R11, R12</t>
  </si>
  <si>
    <t>JMP1, JMP2, JMP3</t>
  </si>
  <si>
    <t>.100 2-pin stick header</t>
  </si>
  <si>
    <t>Jumpers for RELAY mode</t>
  </si>
  <si>
    <t>WM4000-ND</t>
  </si>
  <si>
    <t>relay PCB</t>
  </si>
  <si>
    <t>30A motor relay PCB</t>
  </si>
  <si>
    <t>Vout</t>
  </si>
  <si>
    <t>Vref</t>
  </si>
  <si>
    <t>R16</t>
  </si>
  <si>
    <t>R14</t>
  </si>
  <si>
    <t>R15</t>
  </si>
  <si>
    <t>R14+R15</t>
  </si>
  <si>
    <t>Vbat</t>
  </si>
  <si>
    <t>I led (mA)</t>
  </si>
  <si>
    <t>I divider</t>
  </si>
  <si>
    <t>R17 LED</t>
  </si>
  <si>
    <t>I bias (mA)</t>
  </si>
  <si>
    <t>IM4041 adjustable reference - component calculations</t>
  </si>
  <si>
    <t>I zener (must be less than 15mA)</t>
  </si>
  <si>
    <t>LM4041</t>
  </si>
  <si>
    <t>R14/15</t>
  </si>
  <si>
    <t xml:space="preserve">Vbat = </t>
  </si>
  <si>
    <t>LED OFF</t>
  </si>
  <si>
    <t>LED MAX</t>
  </si>
  <si>
    <t>Typical range - Standard 1% resistor values</t>
  </si>
  <si>
    <t>Worst case - Standard 1% resistor values</t>
  </si>
  <si>
    <t>U1</t>
  </si>
  <si>
    <t>J</t>
  </si>
  <si>
    <t>BC</t>
  </si>
  <si>
    <t>RE</t>
  </si>
  <si>
    <t>MKV</t>
  </si>
  <si>
    <t>WIN</t>
  </si>
  <si>
    <t>LM4041 PRECISION VOLTAGE REF</t>
  </si>
  <si>
    <t>LM4041DIZ-ADJ/NOPB-ND</t>
  </si>
  <si>
    <t>+9V REF for Battery LED</t>
  </si>
  <si>
    <t>47R - 5% 1/4 W resistor</t>
  </si>
  <si>
    <t>1K - 5% 1/8 W resistor</t>
  </si>
  <si>
    <t>10K - 5% 1/8 W resistor</t>
  </si>
  <si>
    <t>Vref voltage divider</t>
  </si>
  <si>
    <t>ring connectors for Sabretooth module</t>
  </si>
  <si>
    <t>DSAMKV (REV x) PCB</t>
  </si>
  <si>
    <t>DSA MKV REVB PCB</t>
  </si>
  <si>
    <t>PCB MKVB (NOV 2018)</t>
  </si>
  <si>
    <t>1A</t>
  </si>
  <si>
    <t>1B</t>
  </si>
  <si>
    <t>3 1/2" x 5" PCB</t>
  </si>
  <si>
    <t>Omni Circuit Boards</t>
  </si>
  <si>
    <t>Vendor Phone</t>
  </si>
  <si>
    <t>DSA MkV Revision A PCB</t>
  </si>
  <si>
    <t>DSA MkV Revision B PCB</t>
  </si>
  <si>
    <t>DSAMVA</t>
  </si>
  <si>
    <t>DSAMVB</t>
  </si>
  <si>
    <t>M81180</t>
  </si>
  <si>
    <t>Raymarine</t>
  </si>
  <si>
    <t>enclosure</t>
  </si>
  <si>
    <t>3-pin female chassis connector</t>
  </si>
  <si>
    <t>ST4000 connector</t>
  </si>
  <si>
    <t>spare</t>
  </si>
  <si>
    <t>1418K31</t>
  </si>
  <si>
    <t>waterproof lubricant for connectors</t>
  </si>
  <si>
    <t>Chemplex 710 silicone compound</t>
  </si>
  <si>
    <t>SP</t>
  </si>
  <si>
    <t>Spare parts, tools, supplies</t>
  </si>
  <si>
    <t>wire cutters</t>
  </si>
  <si>
    <t>heat shrink gun</t>
  </si>
  <si>
    <t>heat shink assortment</t>
  </si>
  <si>
    <t>tweezers</t>
  </si>
  <si>
    <t>69915K54</t>
  </si>
  <si>
    <t>Luer connector - nut (black)</t>
  </si>
  <si>
    <t>1/16" I.D. tubing "nut" black - male</t>
  </si>
  <si>
    <t>Luer connector - nut (white)</t>
  </si>
  <si>
    <t>1/16" I.D. tubing "nut" white - male</t>
  </si>
  <si>
    <t>Luer connector - collar (black)</t>
  </si>
  <si>
    <t>Luer connector - collar (white)</t>
  </si>
  <si>
    <t>1/4" O.D. tubing "nut" female - black</t>
  </si>
  <si>
    <t>1/4" O.D. tubing "nut" female - white</t>
  </si>
  <si>
    <t>MA-DPDT Contura switch</t>
  </si>
  <si>
    <t>www.marineoutfitters.ca</t>
  </si>
  <si>
    <t>Seadog  420209</t>
  </si>
  <si>
    <t>pnuematic tube grip</t>
  </si>
  <si>
    <t>1/2" brad point drill bit</t>
  </si>
  <si>
    <t>5/8" brad point drill bit</t>
  </si>
  <si>
    <t>1/2" washer - Acetal plastic</t>
  </si>
  <si>
    <t>1" hole saw</t>
  </si>
  <si>
    <t>Bulgin chassis mount connectors</t>
  </si>
  <si>
    <t>joystick mount holes (4mm hardware)</t>
  </si>
  <si>
    <t>4mm drill bit</t>
  </si>
  <si>
    <t>de-burring tool</t>
  </si>
  <si>
    <t>clean out various holes during fabrication</t>
  </si>
  <si>
    <t>1 1/8" hole saw</t>
  </si>
  <si>
    <t>CABLE GLAND 3-6.5MM PG7 NYLON</t>
  </si>
  <si>
    <t>Digikey</t>
  </si>
  <si>
    <t>AIO-CSPG7-ND</t>
  </si>
  <si>
    <t>CABLE GLAND 4-8MM PG9 NYLON</t>
  </si>
  <si>
    <t>AIO-CSPG9-ND</t>
  </si>
  <si>
    <t>indicator LED</t>
  </si>
  <si>
    <t>J2 1-5</t>
  </si>
  <si>
    <t>4901K-ND</t>
  </si>
  <si>
    <t>.250" female wire crimp connector</t>
  </si>
  <si>
    <t>91025 (replacement for Harken 150)</t>
  </si>
  <si>
    <t>Nautos composite cam cleat (Harken 150)</t>
  </si>
  <si>
    <t>Bills of Material - Modules and Assemblies</t>
  </si>
  <si>
    <t>Bills of Material - PCBs</t>
  </si>
  <si>
    <t>I, Stephen Alvey, of INVENTURE MANAGEMENT LIMITED, attest that this inventory valuation is accurate in count and value, at the time of transfer to Kevin Penny, on or about November 12, 2018</t>
  </si>
  <si>
    <t xml:space="preserve">Signature:   </t>
  </si>
  <si>
    <t>Date:</t>
  </si>
  <si>
    <t>PCB MKVA (OCT 2018)</t>
  </si>
  <si>
    <t>Martin 16 Power Assist System - Schedule B</t>
  </si>
  <si>
    <t>anti-static matt</t>
  </si>
  <si>
    <t>carbon filter soldering extraction fan</t>
  </si>
  <si>
    <t>bench power supply (variable voltage; current limiting)</t>
  </si>
  <si>
    <t>lockline assembly tool - small</t>
  </si>
  <si>
    <t>nicopress crimps</t>
  </si>
  <si>
    <t>wire stripper</t>
  </si>
  <si>
    <t>PG9 power cord grip</t>
  </si>
  <si>
    <t>PG7 pnuematic tube grip</t>
  </si>
  <si>
    <t>joystick mount hole (30mm)</t>
  </si>
  <si>
    <t>jeweller's screw drivers</t>
  </si>
  <si>
    <t>surgical clamps (2)</t>
  </si>
  <si>
    <t>portable bench vice</t>
  </si>
  <si>
    <t>Brother P-Touch 1/2" label maker</t>
  </si>
  <si>
    <t>serial number labels; various test labels</t>
  </si>
  <si>
    <t xml:space="preserve"> WHITE/BLACK, BLACK/CLEAR tape cartridges</t>
  </si>
  <si>
    <t>vernier caliper</t>
  </si>
  <si>
    <t>measurements; marking enclosures for machining</t>
  </si>
  <si>
    <t>11/16" brad point drill bit</t>
  </si>
  <si>
    <t>McMaster grip</t>
  </si>
  <si>
    <t>call to EarthX regarding battery voltage range:</t>
  </si>
  <si>
    <t>fully charged:  13.7 - 14.0V; discharges to 13.3 - 13.5 in first 10% capacity</t>
  </si>
  <si>
    <t>90% of capacity is from 13.1 - 12V</t>
  </si>
  <si>
    <t>oct 26 2018</t>
  </si>
  <si>
    <t>464XBK-ND</t>
  </si>
  <si>
    <t>BAT</t>
  </si>
  <si>
    <t>PCB BATA (NOV 2018)</t>
  </si>
  <si>
    <t>DSABATA</t>
  </si>
  <si>
    <t>SW1</t>
  </si>
  <si>
    <t>PCB mount test switch</t>
  </si>
  <si>
    <t>CW181-ND</t>
  </si>
  <si>
    <t>SW1 alternate</t>
  </si>
  <si>
    <t>PCB mount test switch (alternate)</t>
  </si>
  <si>
    <t>EG5357CT-ND</t>
  </si>
  <si>
    <t>PCB for EarthX ETX18B lithium battery</t>
  </si>
  <si>
    <t>LED driver</t>
  </si>
  <si>
    <t xml:space="preserve">I = </t>
  </si>
  <si>
    <t>I 4041 =</t>
  </si>
  <si>
    <t>top overlay</t>
  </si>
  <si>
    <t>side</t>
  </si>
  <si>
    <t>warning label</t>
  </si>
  <si>
    <t>50 sets:</t>
  </si>
  <si>
    <t>unit  cost</t>
  </si>
  <si>
    <t>AMPCO Quote 11/02/2018</t>
  </si>
  <si>
    <r>
      <t xml:space="preserve">I zener </t>
    </r>
    <r>
      <rPr>
        <sz val="10"/>
        <color rgb="FFFF0000"/>
        <rFont val="Arial"/>
        <family val="2"/>
      </rPr>
      <t>(must be less than 15mA)</t>
    </r>
  </si>
  <si>
    <t>I 3906 (mA)</t>
  </si>
  <si>
    <t>R17 3906</t>
  </si>
  <si>
    <t>R3, R4, R7, R8, R13, R17</t>
  </si>
  <si>
    <t>Q1</t>
  </si>
  <si>
    <t>19B</t>
  </si>
  <si>
    <t>19C</t>
  </si>
  <si>
    <t>LED1</t>
  </si>
  <si>
    <t>Z2</t>
  </si>
  <si>
    <t>Zener diode – 5.1V 500MW</t>
  </si>
  <si>
    <t>1N5231B-ND</t>
  </si>
  <si>
    <t>R6</t>
  </si>
  <si>
    <t>1M - 1% 1/4 W resistor (critical value)</t>
  </si>
  <si>
    <t>1.00MXBK-ND</t>
  </si>
  <si>
    <t>Battery OK   LED</t>
  </si>
  <si>
    <t>TEST switch for Battery OK</t>
  </si>
  <si>
    <t>TEST switch for Battery OK (alternate)</t>
  </si>
  <si>
    <t>amplifier for Battery OK  LED</t>
  </si>
  <si>
    <t>voltage clamp across LM4041 (OPTION)</t>
  </si>
  <si>
    <t>Battery OK  LED resistor</t>
  </si>
  <si>
    <t>1.00M - 1% 1/4 W resistor (critical value)</t>
  </si>
  <si>
    <t>105KXBK-ND</t>
  </si>
  <si>
    <t>105K - 1% 1/4 W resistor (critical value)</t>
  </si>
  <si>
    <t>2N3904 base resistor</t>
  </si>
  <si>
    <t>2N3904-ND</t>
  </si>
  <si>
    <t>NPN transistor - general purpose</t>
  </si>
  <si>
    <t>V REF for Battery OK  LED</t>
  </si>
  <si>
    <t>V4041 feedback</t>
  </si>
  <si>
    <t>Chrg Battery</t>
  </si>
  <si>
    <t>Battery  OK</t>
  </si>
  <si>
    <t>set CHARGE BATTERY LED at 12V (maybe 11.8 to allow for surge)</t>
  </si>
  <si>
    <r>
      <t xml:space="preserve">EarthX battery </t>
    </r>
    <r>
      <rPr>
        <sz val="10"/>
        <color rgb="FFFF0000"/>
        <rFont val="Arial"/>
        <family val="2"/>
      </rPr>
      <t>BMS cut-out is at 10.7 - 11V</t>
    </r>
  </si>
  <si>
    <r>
      <t xml:space="preserve">Sabretooth is programmed for </t>
    </r>
    <r>
      <rPr>
        <sz val="10"/>
        <color rgb="FFFF0000"/>
        <rFont val="Arial"/>
        <family val="2"/>
      </rPr>
      <t>Vmin at 11.5V (will shut off H-bridge)</t>
    </r>
  </si>
  <si>
    <t>DSABAT REVA PCB</t>
  </si>
  <si>
    <t>EarthX battery PCB with charge meter</t>
  </si>
  <si>
    <t xml:space="preserve">Battery  </t>
  </si>
  <si>
    <t>DSABAT (REV x) PCB</t>
  </si>
  <si>
    <t>Battery</t>
  </si>
  <si>
    <t>waterproof enclosure</t>
  </si>
  <si>
    <t>Pelican case</t>
  </si>
  <si>
    <t>Manufacturing Cost - Battery PCB</t>
  </si>
  <si>
    <t>Battery PCB (introduced Dec 2018)</t>
  </si>
  <si>
    <t>D13, D14, D15, D16</t>
  </si>
  <si>
    <t>LED1 - LED5</t>
  </si>
  <si>
    <t>1.2K - 5% 1/8 W resistor</t>
  </si>
  <si>
    <t>1.2KEBK-ND</t>
  </si>
  <si>
    <t>118KXBK-ND</t>
  </si>
  <si>
    <t>118K - 1% 1/4 W resistor (critical value)</t>
  </si>
  <si>
    <t>RGEF1400HF-ND</t>
  </si>
  <si>
    <t>RGEF900HF-ND</t>
  </si>
  <si>
    <t>115KXBK-ND</t>
  </si>
  <si>
    <t>115K - 1% 1/4 W resistor (critical value)</t>
  </si>
  <si>
    <t>Vref voltage divider REVB/C PCB</t>
  </si>
  <si>
    <t>BATTERY LED; REVB/C PCB</t>
  </si>
  <si>
    <t>R14 (same as Mk V REV C)</t>
  </si>
  <si>
    <t>R15C</t>
  </si>
  <si>
    <t>R15A</t>
  </si>
  <si>
    <t>R15B</t>
  </si>
  <si>
    <t>R1, R10</t>
  </si>
  <si>
    <r>
      <t xml:space="preserve">Total value at date of transfer:  </t>
    </r>
    <r>
      <rPr>
        <b/>
        <sz val="12"/>
        <rFont val="Arial"/>
        <family val="2"/>
      </rPr>
      <t>$ 2,203.08</t>
    </r>
  </si>
  <si>
    <t>464R - 1% 1/4 W resistor</t>
  </si>
  <si>
    <t>US $ 2,400</t>
  </si>
  <si>
    <t>Total Cost Base - Mk V Sip &amp; Puff Module (RELAY; includes EV100 helm drive and accessories)</t>
  </si>
  <si>
    <t>Martin 16 Power Assist subassemblies</t>
  </si>
  <si>
    <t>JCLPCB</t>
  </si>
  <si>
    <t>RN1</t>
  </si>
  <si>
    <t xml:space="preserve">VOLTAGE REF </t>
  </si>
  <si>
    <t xml:space="preserve">R3   </t>
  </si>
  <si>
    <t>Windlass LED shunt</t>
  </si>
  <si>
    <t>J5, J6, DTR, CTS</t>
  </si>
  <si>
    <t>J4</t>
  </si>
  <si>
    <t>USB header (Arduino)</t>
  </si>
  <si>
    <t xml:space="preserve">J1  </t>
  </si>
  <si>
    <t>analog joystick</t>
  </si>
  <si>
    <t>MKVI</t>
  </si>
  <si>
    <t>Manufacturing Cost - Mk VI PCB</t>
  </si>
  <si>
    <t>Cytron MD13S PWM module</t>
  </si>
  <si>
    <t>MD13S</t>
  </si>
  <si>
    <t>13A PWM Module</t>
  </si>
  <si>
    <t>NJM7805FA-ND</t>
  </si>
  <si>
    <t>NJR Corp 5v - 1A Voltage regulator</t>
  </si>
  <si>
    <t>Darlington transistor array (7)</t>
  </si>
  <si>
    <t>relay / LED drivers</t>
  </si>
  <si>
    <t>+5V power regulator</t>
  </si>
  <si>
    <t>X1</t>
  </si>
  <si>
    <t>61-221-0</t>
  </si>
  <si>
    <t>Minature PC mount buzzer (Projects Unlimited)</t>
  </si>
  <si>
    <t>Buzzer</t>
  </si>
  <si>
    <t>X2</t>
  </si>
  <si>
    <t>PIC oscillator</t>
  </si>
  <si>
    <t>16MHz crystal - low profile</t>
  </si>
  <si>
    <t>Banggood</t>
  </si>
  <si>
    <t>C7, C8</t>
  </si>
  <si>
    <t>22pF ceramic capacitor</t>
  </si>
  <si>
    <t>resonator</t>
  </si>
  <si>
    <t>PIC socket</t>
  </si>
  <si>
    <t>28 pin socket for PIC</t>
  </si>
  <si>
    <t>16 pin socket for ULN2003</t>
  </si>
  <si>
    <t>ULN2003 socket</t>
  </si>
  <si>
    <t xml:space="preserve">J3  </t>
  </si>
  <si>
    <t>J8A, B, C, D</t>
  </si>
  <si>
    <t>switched joystick</t>
  </si>
  <si>
    <t>U1, U5</t>
  </si>
  <si>
    <t>MPXV7007GC6U-ND</t>
  </si>
  <si>
    <t>PRESSURE SENSOR AXIAL PORT 8-SOP</t>
  </si>
  <si>
    <t>pnuematic sensor</t>
  </si>
  <si>
    <t>U2</t>
  </si>
  <si>
    <t>10 microfarad ELECTROLYTIC (16V) cap</t>
  </si>
  <si>
    <t>P2038-ND</t>
  </si>
  <si>
    <t xml:space="preserve">0.47 microfarad ceramic cap (50V) </t>
  </si>
  <si>
    <t>P4944-ND</t>
  </si>
  <si>
    <t>D2, D3, D4, D5, D6, D12</t>
  </si>
  <si>
    <t>C10, C11</t>
  </si>
  <si>
    <t>WM4203-ND</t>
  </si>
  <si>
    <t>.100 5-pin stick header - locking</t>
  </si>
  <si>
    <t>SW2</t>
  </si>
  <si>
    <t>PCB mount - pushbutton switch</t>
  </si>
  <si>
    <t>program mode switch</t>
  </si>
  <si>
    <t>U4</t>
  </si>
  <si>
    <t>U3</t>
  </si>
  <si>
    <t>U6</t>
  </si>
  <si>
    <t>.100 3-pin stick header - locking</t>
  </si>
  <si>
    <t>RC Receiver connector; JUMPERS</t>
  </si>
  <si>
    <t>3mm threaded standoff post - 15mm</t>
  </si>
  <si>
    <t>Mk VI Arduino Joystick Module</t>
  </si>
  <si>
    <t>Sip &amp; puff sensors</t>
  </si>
  <si>
    <t>Mk VI PCB</t>
  </si>
  <si>
    <t>Cytron</t>
  </si>
  <si>
    <t>C12, C13, C15, C16, C17, C18</t>
  </si>
  <si>
    <t>ATMEGA 328-PU</t>
  </si>
  <si>
    <t>PCB MKVI C</t>
  </si>
  <si>
    <t>DSAMVIC</t>
  </si>
  <si>
    <t>4306R-101-471LF-ND</t>
  </si>
  <si>
    <t xml:space="preserve">6 pin SIP 470R - 1% 1/4 W resistor </t>
  </si>
  <si>
    <t>RN2, RN3</t>
  </si>
  <si>
    <t>various R</t>
  </si>
  <si>
    <t>R for LEDs</t>
  </si>
  <si>
    <t>R5</t>
  </si>
  <si>
    <t>R4</t>
  </si>
  <si>
    <t>pull up for ULN2003</t>
  </si>
  <si>
    <t>C19</t>
  </si>
  <si>
    <t>.1uF ceramic cap (50V)</t>
  </si>
  <si>
    <t>Arduino reset line</t>
  </si>
  <si>
    <t>Arduino PIC with bootloader</t>
  </si>
  <si>
    <t>Robotshop</t>
  </si>
  <si>
    <t>Mk VI PCB  (Arduino architecture; introduced June 2021)</t>
  </si>
  <si>
    <t>J10 - J11</t>
  </si>
  <si>
    <t>J12 - J19</t>
  </si>
  <si>
    <t>.100 4-pin MALE header</t>
  </si>
  <si>
    <t>S&amp;P module connector</t>
  </si>
  <si>
    <t>mounting hardware for Cytron MD13S</t>
  </si>
  <si>
    <t>.100 6-pin FEMALE header</t>
  </si>
  <si>
    <t>Power cord connector socket PCB</t>
  </si>
  <si>
    <t>DSAMKVI (REV C) PCB</t>
  </si>
  <si>
    <t>900-0022032031-ND</t>
  </si>
  <si>
    <t xml:space="preserve">	
900-0022032031-ND</t>
  </si>
  <si>
    <t xml:space="preserve">	
WM4002-ND</t>
  </si>
  <si>
    <t>HDR100IMP06F-G-V-ST</t>
  </si>
  <si>
    <t>28-3518-10T-ND</t>
  </si>
  <si>
    <t>16-3518-10T-ND</t>
  </si>
  <si>
    <t xml:space="preserve">	
11.0KXBK-ND</t>
  </si>
  <si>
    <t xml:space="preserve">	
4.99KXBK-ND</t>
  </si>
  <si>
    <t>4.99K - 1% 1/8 W resistor</t>
  </si>
  <si>
    <t>11.0K - 1% 1/8 W resistor</t>
  </si>
  <si>
    <t>470QBK-ND‎</t>
  </si>
  <si>
    <t>470R - 5% 1/4 W resistor</t>
  </si>
  <si>
    <t xml:space="preserve">10 pin SIP 10K - 1% 1/4 W resistor </t>
  </si>
  <si>
    <t>4610X-101-103LF-ND</t>
  </si>
  <si>
    <t>100K for joystick and S&amp;P sensors reference</t>
  </si>
  <si>
    <t>277-1150-ND</t>
  </si>
  <si>
    <t>277-1062-ND</t>
  </si>
  <si>
    <t>.200 Euroconnector - 2-pin - PCB header</t>
  </si>
  <si>
    <t>.200 Euroconnector - 2-pin - PLUG</t>
  </si>
  <si>
    <t>.200 Euroconnector - 5-pin - PLUG</t>
  </si>
  <si>
    <t>18-AHRL 1400-ND</t>
  </si>
  <si>
    <t>Windlass PCB REV C</t>
  </si>
  <si>
    <t>JLC LCB</t>
  </si>
  <si>
    <t>SKUD seat contol (auto)</t>
  </si>
  <si>
    <t>MOD1</t>
  </si>
  <si>
    <t>MOD2</t>
  </si>
  <si>
    <t>MOD3</t>
  </si>
  <si>
    <t>MOD4</t>
  </si>
  <si>
    <t>DFR0339</t>
  </si>
  <si>
    <t>Beetle BLE Arduino PIC</t>
  </si>
  <si>
    <t>Pololu G2 motor driver 17A</t>
  </si>
  <si>
    <t>PIC</t>
  </si>
  <si>
    <t>PWM motor driver</t>
  </si>
  <si>
    <t>Pololu MOSFET switch</t>
  </si>
  <si>
    <t>Buck 12v/5V power supply</t>
  </si>
  <si>
    <t>power supply</t>
  </si>
  <si>
    <t>power switch</t>
  </si>
  <si>
    <t>DFR0831</t>
  </si>
  <si>
    <t>Pololu.com</t>
  </si>
  <si>
    <t>DFRobot.com</t>
  </si>
  <si>
    <t>BAT PCB</t>
  </si>
  <si>
    <t>SKUD</t>
  </si>
  <si>
    <t>JLC PCB</t>
  </si>
  <si>
    <t>battery PCB</t>
  </si>
  <si>
    <t>16 GA wire harness</t>
  </si>
  <si>
    <t>SNP PCB</t>
  </si>
  <si>
    <t>MOD5</t>
  </si>
  <si>
    <t>Sip &amp; Puff sensot PCB</t>
  </si>
  <si>
    <t>SKUD Battery Module</t>
  </si>
  <si>
    <t>SKUD Seat Control</t>
  </si>
  <si>
    <t>SKUD Seat Control electronics</t>
  </si>
  <si>
    <t>Actuator connector</t>
  </si>
  <si>
    <t>tilt sensor; Joystick/S&amp;P connectors</t>
  </si>
  <si>
    <t>rocker switch</t>
  </si>
  <si>
    <t>wire harness</t>
  </si>
  <si>
    <t>16 GA wire harness; cables</t>
  </si>
  <si>
    <t>Bulgin 6-pin male- cable</t>
  </si>
  <si>
    <t>70099206 (Allied) PX-0739/P</t>
  </si>
  <si>
    <t>70099204  PX-0731/P</t>
  </si>
  <si>
    <t>assembly</t>
  </si>
  <si>
    <t>SKUD Seat Control Module</t>
  </si>
  <si>
    <t>Manufacturing Cost - SKUD Seat Control Module</t>
  </si>
  <si>
    <t>Mk VI Development costs - amortization</t>
  </si>
  <si>
    <t>Total Cost base - Mk VI Joystick Module</t>
  </si>
  <si>
    <t>DSA MkVI Revision D PCB</t>
  </si>
  <si>
    <t>J27</t>
  </si>
  <si>
    <t>pads for Cytron MD13S</t>
  </si>
  <si>
    <t>helm drive connector</t>
  </si>
  <si>
    <t>J7, J9</t>
  </si>
  <si>
    <t>F1</t>
  </si>
  <si>
    <t>C14</t>
  </si>
  <si>
    <t xml:space="preserve">4.7 nanofarad ceramic cap (50V) </t>
  </si>
  <si>
    <t>V sense resistor bridge by-pass</t>
  </si>
  <si>
    <t>D8, D7</t>
  </si>
  <si>
    <t>D1, D9, D10, D11</t>
  </si>
  <si>
    <t>RN4, RN5</t>
  </si>
  <si>
    <t>4606X-101-104LF ??</t>
  </si>
  <si>
    <t>100K x 5 1% 1/8 W SIP</t>
  </si>
  <si>
    <t>Published Retail Price (including S&amp;P sensors)</t>
  </si>
  <si>
    <t>1N4001GP-E3/73</t>
  </si>
  <si>
    <t>ATMEGA328-PU</t>
  </si>
  <si>
    <t>2151-AS-16.000-20-EXT-ND</t>
  </si>
  <si>
    <t>ULN2003AIN</t>
  </si>
  <si>
    <t>by-pass</t>
  </si>
  <si>
    <t>399-4309-ND</t>
  </si>
  <si>
    <t>3D printed enclosure</t>
  </si>
  <si>
    <t>3D printed Winch drums</t>
  </si>
  <si>
    <t>M16 Windlass Mk VI</t>
  </si>
  <si>
    <t>M16 Sip &amp; Puff Module (embedded in Mk VI)</t>
  </si>
  <si>
    <t>12V DPDT reversing relay (25A)</t>
  </si>
  <si>
    <t>41-V23086C2001A403-ND</t>
  </si>
  <si>
    <t>JCL PCB</t>
  </si>
  <si>
    <t>Arduino PIC PCB including S&amp;P</t>
  </si>
  <si>
    <t>3D printed Winch hubs</t>
  </si>
  <si>
    <t>CHINA 80ZYT52RV030-SZ(A)  40:1</t>
  </si>
  <si>
    <t>Dongguan Faradyi Technology Co.</t>
  </si>
  <si>
    <t>80ZYT52RV030-SZ(A)</t>
  </si>
  <si>
    <t>3D printed 1" round x 2.5"</t>
  </si>
  <si>
    <t>3D printed    2.5" x 6" aluminum with base boss 1" round x 1"</t>
  </si>
  <si>
    <t>TM391</t>
  </si>
  <si>
    <t>Amazon.ca</t>
  </si>
  <si>
    <t>6A Li-ion battery charger</t>
  </si>
  <si>
    <t>amazon.ca</t>
  </si>
  <si>
    <t>SS RD TUBE SMLS 304 .375 x .049 wall</t>
  </si>
  <si>
    <t>5/16" UNF SS turnbuckle fork with clevis pin</t>
  </si>
  <si>
    <t>Flex tube - 5 feet bulk</t>
  </si>
  <si>
    <t>10095K97</t>
  </si>
  <si>
    <t>10095K43</t>
  </si>
  <si>
    <t>10095K29</t>
  </si>
  <si>
    <t>Flex tube  F/F adaptor pkg of 4</t>
  </si>
  <si>
    <t>Flex tube - 1/8 NPT pkg of 4</t>
  </si>
  <si>
    <t>50555K64</t>
  </si>
  <si>
    <t>Steveston Marine</t>
  </si>
  <si>
    <t>Sheet in/out control</t>
  </si>
  <si>
    <t>www.marineoutfitters.ca  Steveston Marine</t>
  </si>
  <si>
    <t>FLY-Energy (AliExpress.com)</t>
  </si>
  <si>
    <t>7A-BS motorcycle battery</t>
  </si>
  <si>
    <t>7AH LFP battery</t>
  </si>
  <si>
    <t>EarthX ETX18B LFP battery - 7AH</t>
  </si>
  <si>
    <t>Dakota Lithium LFP battery - 7AH</t>
  </si>
  <si>
    <t>Dakota Lithium</t>
  </si>
  <si>
    <t>7AH LFP</t>
  </si>
  <si>
    <t>20A ATO fuse holder</t>
  </si>
  <si>
    <t>Trotac Marine</t>
  </si>
  <si>
    <t>Binnacle.com</t>
  </si>
  <si>
    <t>Manufacturing Cost - Mk VI Joystick Module</t>
  </si>
  <si>
    <t>1/2" x .125" rubber grommets</t>
  </si>
  <si>
    <t>Napa Auto - Sidney</t>
  </si>
  <si>
    <t>1/4" x 3/4"  SS allen key button screw</t>
  </si>
  <si>
    <t>1/4" SS nylok nut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</si>
</sst>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quot;$&quot;* #,##0.00_-;_-&quot;$&quot;* &quot;-&quot;??_-;_-@_-"/>
    <numFmt numFmtId="164" formatCode="_(&quot;$&quot;* #,##0.00_);_(&quot;$&quot;* \(#,##0.00\);_(&quot;$&quot;* &quot;-&quot;??_);_(@_)"/>
    <numFmt numFmtId="165" formatCode="_(* #,##0.00_);_(* \(#,##0.00\);_(* &quot;-&quot;??_);_(@_)"/>
    <numFmt numFmtId="166" formatCode="_(&quot;$&quot;* #,##0_);_(&quot;$&quot;* \(#,##0\);_(&quot;$&quot;* &quot;-&quot;??_);_(@_)"/>
    <numFmt numFmtId="167" formatCode="_(* #,##0_);_(* \(#,##0\);_(* &quot;-&quot;??_);_(@_)"/>
    <numFmt numFmtId="168" formatCode="0.0000"/>
    <numFmt numFmtId="169" formatCode="0.000"/>
    <numFmt numFmtId="170" formatCode="0.0"/>
  </numFmts>
  <fonts count="33" x14ac:knownFonts="1">
    <font>
      <sz val="10"/>
      <name val="Arial"/>
    </font>
    <font>
      <sz val="10"/>
      <name val="Arial"/>
      <family val="2"/>
    </font>
    <font>
      <b/>
      <sz val="16"/>
      <name val="Arial"/>
      <family val="2"/>
    </font>
    <font>
      <b/>
      <sz val="10"/>
      <name val="Arial"/>
      <family val="2"/>
    </font>
    <font>
      <b/>
      <sz val="12"/>
      <name val="Arial"/>
      <family val="2"/>
    </font>
    <font>
      <sz val="10"/>
      <name val="Arial"/>
      <family val="2"/>
    </font>
    <font>
      <b/>
      <i/>
      <sz val="16"/>
      <name val="Arial"/>
      <family val="2"/>
    </font>
    <font>
      <b/>
      <sz val="20"/>
      <name val="Arial"/>
      <family val="2"/>
    </font>
    <font>
      <sz val="10"/>
      <color indexed="10"/>
      <name val="Arial"/>
      <family val="2"/>
    </font>
    <font>
      <sz val="9"/>
      <name val="Arial"/>
      <family val="2"/>
    </font>
    <font>
      <u/>
      <sz val="10"/>
      <color indexed="12"/>
      <name val="Arial"/>
      <family val="2"/>
    </font>
    <font>
      <b/>
      <sz val="10"/>
      <name val="Arial"/>
      <family val="2"/>
    </font>
    <font>
      <sz val="10"/>
      <color indexed="8"/>
      <name val="Arial"/>
      <family val="2"/>
    </font>
    <font>
      <b/>
      <sz val="16"/>
      <name val="Arial"/>
      <family val="2"/>
    </font>
    <font>
      <sz val="10"/>
      <color indexed="10"/>
      <name val="Arial"/>
      <family val="2"/>
    </font>
    <font>
      <sz val="10"/>
      <name val="Arial"/>
      <family val="2"/>
    </font>
    <font>
      <b/>
      <sz val="12"/>
      <name val="Arial"/>
      <family val="2"/>
    </font>
    <font>
      <sz val="8.5"/>
      <name val="Arial"/>
      <family val="2"/>
    </font>
    <font>
      <sz val="9"/>
      <name val="Arial"/>
      <family val="2"/>
    </font>
    <font>
      <b/>
      <sz val="14"/>
      <name val="Arial"/>
      <family val="2"/>
    </font>
    <font>
      <u/>
      <sz val="10"/>
      <name val="Arial"/>
      <family val="2"/>
    </font>
    <font>
      <sz val="10"/>
      <color rgb="FFFF0000"/>
      <name val="Arial"/>
      <family val="2"/>
    </font>
    <font>
      <b/>
      <sz val="10"/>
      <color rgb="FFFF0000"/>
      <name val="Arial"/>
      <family val="2"/>
    </font>
    <font>
      <b/>
      <sz val="12"/>
      <color rgb="FFFF0000"/>
      <name val="Arial"/>
      <family val="2"/>
    </font>
    <font>
      <b/>
      <u/>
      <sz val="10"/>
      <color rgb="FFFF0000"/>
      <name val="Arial"/>
      <family val="2"/>
    </font>
    <font>
      <sz val="10"/>
      <color rgb="FF000000"/>
      <name val="Arial"/>
      <family val="2"/>
    </font>
    <font>
      <sz val="10"/>
      <color rgb="FF333333"/>
      <name val="Arial"/>
      <family val="2"/>
    </font>
    <font>
      <b/>
      <sz val="14"/>
      <color rgb="FFFF0000"/>
      <name val="Arial"/>
      <family val="2"/>
    </font>
    <font>
      <b/>
      <sz val="14"/>
      <color theme="9" tint="-0.499984740745262"/>
      <name val="Arial"/>
      <family val="2"/>
    </font>
    <font>
      <b/>
      <sz val="10"/>
      <color rgb="FF00B050"/>
      <name val="Arial"/>
      <family val="2"/>
    </font>
    <font>
      <sz val="9"/>
      <color rgb="FFFF0000"/>
      <name val="Arial"/>
      <family val="2"/>
    </font>
    <font>
      <u/>
      <sz val="10"/>
      <color rgb="FFFF0000"/>
      <name val="Arial"/>
      <family val="2"/>
    </font>
    <font>
      <sz val="9"/>
      <color rgb="FF000000"/>
      <name val="Arial"/>
      <family val="2"/>
    </font>
  </fonts>
  <fills count="7">
    <fill>
      <patternFill patternType="none"/>
    </fill>
    <fill>
      <patternFill patternType="gray125"/>
    </fill>
    <fill>
      <patternFill patternType="solid">
        <fgColor indexed="1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s>
  <borders count="1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165" fontId="1" fillId="0" borderId="0" applyFont="0" applyFill="0" applyBorder="0" applyAlignment="0" applyProtection="0"/>
    <xf numFmtId="164" fontId="1" fillId="0" borderId="0" applyFont="0" applyFill="0" applyBorder="0" applyAlignment="0" applyProtection="0"/>
    <xf numFmtId="0" fontId="10" fillId="0" borderId="0" applyNumberFormat="0" applyFill="0" applyBorder="0" applyAlignment="0" applyProtection="0">
      <alignment vertical="top"/>
      <protection locked="0"/>
    </xf>
  </cellStyleXfs>
  <cellXfs count="224">
    <xf numFmtId="0" fontId="0" fillId="0" borderId="0" xfId="0"/>
    <xf numFmtId="0" fontId="2" fillId="0" borderId="0" xfId="0" applyFont="1"/>
    <xf numFmtId="0" fontId="3" fillId="0" borderId="1" xfId="0" applyFont="1" applyBorder="1"/>
    <xf numFmtId="164" fontId="0" fillId="0" borderId="0" xfId="2" applyFont="1"/>
    <xf numFmtId="164" fontId="0" fillId="0" borderId="0" xfId="0" applyNumberFormat="1"/>
    <xf numFmtId="164" fontId="3" fillId="0" borderId="0" xfId="0" applyNumberFormat="1" applyFont="1"/>
    <xf numFmtId="0" fontId="3" fillId="0" borderId="0" xfId="0" applyFont="1"/>
    <xf numFmtId="166" fontId="3" fillId="0" borderId="0" xfId="0" applyNumberFormat="1" applyFont="1"/>
    <xf numFmtId="0" fontId="0" fillId="0" borderId="0" xfId="0" applyAlignment="1">
      <alignment horizontal="right"/>
    </xf>
    <xf numFmtId="0" fontId="0" fillId="0" borderId="1" xfId="0" applyBorder="1"/>
    <xf numFmtId="0" fontId="0" fillId="0" borderId="1" xfId="0" applyBorder="1" applyAlignment="1">
      <alignment horizontal="right"/>
    </xf>
    <xf numFmtId="164" fontId="0" fillId="0" borderId="1" xfId="2" applyFont="1" applyBorder="1"/>
    <xf numFmtId="164" fontId="0" fillId="0" borderId="1" xfId="0" applyNumberFormat="1" applyBorder="1"/>
    <xf numFmtId="166" fontId="0" fillId="0" borderId="0" xfId="0" applyNumberFormat="1"/>
    <xf numFmtId="166" fontId="3" fillId="0" borderId="0" xfId="2" applyNumberFormat="1" applyFont="1"/>
    <xf numFmtId="15" fontId="0" fillId="0" borderId="0" xfId="0" applyNumberFormat="1"/>
    <xf numFmtId="0" fontId="6" fillId="0" borderId="0" xfId="0" applyFont="1"/>
    <xf numFmtId="166" fontId="0" fillId="0" borderId="1" xfId="0" applyNumberFormat="1" applyBorder="1"/>
    <xf numFmtId="0" fontId="8" fillId="2" borderId="0" xfId="0" applyFont="1" applyFill="1"/>
    <xf numFmtId="0" fontId="0" fillId="2" borderId="0" xfId="0" applyFill="1"/>
    <xf numFmtId="167" fontId="0" fillId="0" borderId="0" xfId="1" applyNumberFormat="1" applyFont="1"/>
    <xf numFmtId="0" fontId="0" fillId="0" borderId="0" xfId="0" applyAlignment="1">
      <alignment horizontal="left"/>
    </xf>
    <xf numFmtId="166" fontId="11" fillId="0" borderId="0" xfId="0" applyNumberFormat="1" applyFont="1"/>
    <xf numFmtId="0" fontId="12" fillId="0" borderId="0" xfId="0" applyFont="1" applyAlignment="1">
      <alignment horizontal="right" vertical="top" wrapText="1"/>
    </xf>
    <xf numFmtId="0" fontId="0" fillId="0" borderId="0" xfId="0" quotePrefix="1" applyAlignment="1">
      <alignment horizontal="right"/>
    </xf>
    <xf numFmtId="0" fontId="12" fillId="0" borderId="0" xfId="0" applyFont="1" applyAlignment="1">
      <alignment horizontal="right"/>
    </xf>
    <xf numFmtId="0" fontId="13" fillId="0" borderId="0" xfId="0" applyFont="1"/>
    <xf numFmtId="0" fontId="14" fillId="2" borderId="0" xfId="0" applyFont="1" applyFill="1"/>
    <xf numFmtId="0" fontId="14" fillId="2" borderId="0" xfId="0" applyFont="1" applyFill="1" applyAlignment="1">
      <alignment horizontal="right"/>
    </xf>
    <xf numFmtId="0" fontId="15" fillId="0" borderId="0" xfId="0" applyFont="1"/>
    <xf numFmtId="0" fontId="15" fillId="0" borderId="0" xfId="0" applyFont="1" applyAlignment="1">
      <alignment horizontal="right"/>
    </xf>
    <xf numFmtId="0" fontId="16" fillId="0" borderId="0" xfId="0" applyFont="1"/>
    <xf numFmtId="0" fontId="11" fillId="0" borderId="1" xfId="0" applyFont="1" applyBorder="1"/>
    <xf numFmtId="0" fontId="11" fillId="0" borderId="0" xfId="0" applyFont="1" applyAlignment="1">
      <alignment horizontal="right"/>
    </xf>
    <xf numFmtId="0" fontId="11" fillId="0" borderId="1" xfId="0" applyFont="1" applyBorder="1" applyAlignment="1">
      <alignment horizontal="right"/>
    </xf>
    <xf numFmtId="0" fontId="11" fillId="0" borderId="0" xfId="0" applyFont="1"/>
    <xf numFmtId="0" fontId="0" fillId="0" borderId="0" xfId="0" quotePrefix="1"/>
    <xf numFmtId="164" fontId="15" fillId="0" borderId="0" xfId="2" applyFont="1"/>
    <xf numFmtId="0" fontId="12" fillId="0" borderId="0" xfId="0" applyFont="1"/>
    <xf numFmtId="0" fontId="12" fillId="0" borderId="0" xfId="0" applyFont="1" applyAlignment="1">
      <alignment vertical="top" wrapText="1"/>
    </xf>
    <xf numFmtId="0" fontId="1" fillId="0" borderId="0" xfId="0" applyFont="1" applyAlignment="1">
      <alignment horizontal="right"/>
    </xf>
    <xf numFmtId="0" fontId="15" fillId="0" borderId="1" xfId="0" applyFont="1" applyBorder="1"/>
    <xf numFmtId="0" fontId="15" fillId="0" borderId="1" xfId="0" applyFont="1" applyBorder="1" applyAlignment="1">
      <alignment horizontal="right"/>
    </xf>
    <xf numFmtId="0" fontId="1" fillId="0" borderId="1" xfId="0" applyFont="1" applyBorder="1" applyAlignment="1">
      <alignment horizontal="right"/>
    </xf>
    <xf numFmtId="164" fontId="15" fillId="0" borderId="1" xfId="2" applyFont="1" applyBorder="1"/>
    <xf numFmtId="164" fontId="11" fillId="0" borderId="0" xfId="2" applyFont="1"/>
    <xf numFmtId="164" fontId="0" fillId="0" borderId="0" xfId="2" applyFont="1" applyBorder="1"/>
    <xf numFmtId="166" fontId="3" fillId="0" borderId="1" xfId="0" applyNumberFormat="1" applyFont="1" applyBorder="1"/>
    <xf numFmtId="0" fontId="1" fillId="0" borderId="0" xfId="0" applyFont="1"/>
    <xf numFmtId="0" fontId="0" fillId="0" borderId="1" xfId="0" applyBorder="1" applyAlignment="1">
      <alignment horizontal="left"/>
    </xf>
    <xf numFmtId="166" fontId="22" fillId="0" borderId="0" xfId="0" applyNumberFormat="1" applyFont="1"/>
    <xf numFmtId="166" fontId="23" fillId="0" borderId="0" xfId="0" applyNumberFormat="1" applyFont="1"/>
    <xf numFmtId="0" fontId="10" fillId="0" borderId="0" xfId="3" applyAlignment="1" applyProtection="1"/>
    <xf numFmtId="0" fontId="15" fillId="0" borderId="0" xfId="0" applyFont="1" applyAlignment="1">
      <alignment horizontal="left" vertical="top" wrapText="1"/>
    </xf>
    <xf numFmtId="0" fontId="0" fillId="0" borderId="0" xfId="0" applyAlignment="1">
      <alignment vertical="top"/>
    </xf>
    <xf numFmtId="0" fontId="15" fillId="0" borderId="0" xfId="0" applyFont="1" applyAlignment="1">
      <alignment vertical="top"/>
    </xf>
    <xf numFmtId="164" fontId="0" fillId="0" borderId="0" xfId="2" applyFont="1" applyAlignment="1">
      <alignment vertical="top"/>
    </xf>
    <xf numFmtId="164" fontId="0" fillId="0" borderId="0" xfId="0" applyNumberFormat="1" applyAlignment="1">
      <alignment vertical="top"/>
    </xf>
    <xf numFmtId="164" fontId="15" fillId="0" borderId="0" xfId="2" applyFont="1" applyBorder="1"/>
    <xf numFmtId="0" fontId="17" fillId="0" borderId="0" xfId="0" applyFont="1" applyAlignment="1">
      <alignment horizontal="right"/>
    </xf>
    <xf numFmtId="0" fontId="15" fillId="0" borderId="0" xfId="0" applyFont="1" applyAlignment="1">
      <alignment horizontal="left"/>
    </xf>
    <xf numFmtId="0" fontId="15" fillId="0" borderId="1" xfId="0" applyFont="1" applyBorder="1" applyAlignment="1">
      <alignment horizontal="left"/>
    </xf>
    <xf numFmtId="0" fontId="0" fillId="2" borderId="0" xfId="0" applyFill="1" applyAlignment="1">
      <alignment horizontal="left"/>
    </xf>
    <xf numFmtId="0" fontId="3" fillId="0" borderId="1" xfId="0" applyFont="1" applyBorder="1" applyAlignment="1">
      <alignment horizontal="left"/>
    </xf>
    <xf numFmtId="0" fontId="12" fillId="0" borderId="0" xfId="0" applyFont="1" applyAlignment="1">
      <alignment horizontal="left"/>
    </xf>
    <xf numFmtId="0" fontId="18" fillId="0" borderId="0" xfId="0" applyFont="1" applyAlignment="1">
      <alignment horizontal="left" vertical="top"/>
    </xf>
    <xf numFmtId="0" fontId="15" fillId="0" borderId="0" xfId="0" applyFont="1" applyAlignment="1">
      <alignment horizontal="left" wrapText="1"/>
    </xf>
    <xf numFmtId="0" fontId="15" fillId="0" borderId="0" xfId="0" applyFont="1" applyAlignment="1">
      <alignment horizontal="left" vertical="center"/>
    </xf>
    <xf numFmtId="0" fontId="9" fillId="0" borderId="0" xfId="0" applyFont="1" applyAlignment="1">
      <alignment horizontal="left"/>
    </xf>
    <xf numFmtId="0" fontId="5" fillId="0" borderId="0" xfId="0" applyFont="1" applyAlignment="1">
      <alignment horizontal="left"/>
    </xf>
    <xf numFmtId="0" fontId="19" fillId="0" borderId="1" xfId="0" applyFont="1" applyBorder="1"/>
    <xf numFmtId="0" fontId="23" fillId="0" borderId="0" xfId="0" applyFont="1"/>
    <xf numFmtId="0" fontId="0" fillId="0" borderId="2" xfId="0" applyBorder="1"/>
    <xf numFmtId="0" fontId="16" fillId="0" borderId="2" xfId="0" applyFont="1" applyBorder="1"/>
    <xf numFmtId="0" fontId="0" fillId="0" borderId="2" xfId="0" applyBorder="1" applyAlignment="1">
      <alignment horizontal="left"/>
    </xf>
    <xf numFmtId="166" fontId="3" fillId="0" borderId="2" xfId="0" applyNumberFormat="1" applyFont="1" applyBorder="1"/>
    <xf numFmtId="164" fontId="0" fillId="0" borderId="2" xfId="2" applyFont="1" applyBorder="1"/>
    <xf numFmtId="166" fontId="23" fillId="0" borderId="1" xfId="0" applyNumberFormat="1" applyFont="1" applyBorder="1"/>
    <xf numFmtId="0" fontId="0" fillId="0" borderId="3" xfId="0" applyBorder="1"/>
    <xf numFmtId="0" fontId="0" fillId="0" borderId="3" xfId="0" applyBorder="1" applyAlignment="1">
      <alignment horizontal="left"/>
    </xf>
    <xf numFmtId="164" fontId="0" fillId="0" borderId="3" xfId="2" applyFont="1" applyBorder="1"/>
    <xf numFmtId="166" fontId="23" fillId="0" borderId="3" xfId="0" applyNumberFormat="1" applyFont="1" applyBorder="1"/>
    <xf numFmtId="164" fontId="23" fillId="0" borderId="1" xfId="2" applyFont="1" applyBorder="1"/>
    <xf numFmtId="164" fontId="22" fillId="0" borderId="1" xfId="2" applyFont="1" applyBorder="1"/>
    <xf numFmtId="0" fontId="22" fillId="0" borderId="1" xfId="0" applyFont="1" applyBorder="1"/>
    <xf numFmtId="0" fontId="20" fillId="0" borderId="1" xfId="0" applyFont="1" applyBorder="1"/>
    <xf numFmtId="0" fontId="20" fillId="0" borderId="1" xfId="0" applyFont="1" applyBorder="1" applyAlignment="1">
      <alignment horizontal="left"/>
    </xf>
    <xf numFmtId="164" fontId="20" fillId="0" borderId="1" xfId="2" applyFont="1" applyBorder="1"/>
    <xf numFmtId="164" fontId="24" fillId="0" borderId="1" xfId="2" applyFont="1" applyBorder="1"/>
    <xf numFmtId="164" fontId="15" fillId="0" borderId="1" xfId="0" applyNumberFormat="1" applyFont="1" applyBorder="1"/>
    <xf numFmtId="0" fontId="21" fillId="0" borderId="0" xfId="0" applyFont="1"/>
    <xf numFmtId="0" fontId="22" fillId="0" borderId="0" xfId="0" applyFont="1" applyAlignment="1">
      <alignment horizontal="right"/>
    </xf>
    <xf numFmtId="0" fontId="22" fillId="0" borderId="0" xfId="0" applyFont="1"/>
    <xf numFmtId="0" fontId="0" fillId="3" borderId="2" xfId="0" applyFill="1" applyBorder="1"/>
    <xf numFmtId="0" fontId="0" fillId="3" borderId="6" xfId="0" applyFill="1" applyBorder="1"/>
    <xf numFmtId="0" fontId="0" fillId="3" borderId="0" xfId="0" applyFill="1"/>
    <xf numFmtId="0" fontId="0" fillId="3" borderId="4" xfId="0" applyFill="1" applyBorder="1"/>
    <xf numFmtId="0" fontId="0" fillId="3" borderId="12" xfId="0" applyFill="1" applyBorder="1"/>
    <xf numFmtId="164" fontId="23" fillId="3" borderId="1" xfId="2" applyFont="1" applyFill="1" applyBorder="1"/>
    <xf numFmtId="0" fontId="11" fillId="3" borderId="10" xfId="0" applyFont="1" applyFill="1" applyBorder="1"/>
    <xf numFmtId="0" fontId="11" fillId="3" borderId="11" xfId="0" applyFont="1" applyFill="1" applyBorder="1"/>
    <xf numFmtId="167" fontId="0" fillId="0" borderId="0" xfId="1" applyNumberFormat="1" applyFont="1" applyBorder="1"/>
    <xf numFmtId="164" fontId="15" fillId="0" borderId="0" xfId="0" applyNumberFormat="1" applyFont="1"/>
    <xf numFmtId="0" fontId="11" fillId="0" borderId="2" xfId="0" applyFont="1" applyBorder="1"/>
    <xf numFmtId="0" fontId="25" fillId="0" borderId="0" xfId="0" applyFont="1"/>
    <xf numFmtId="0" fontId="26" fillId="0" borderId="0" xfId="0" applyFont="1"/>
    <xf numFmtId="0" fontId="1" fillId="0" borderId="0" xfId="0" applyFont="1" applyAlignment="1">
      <alignment horizontal="right" vertical="center"/>
    </xf>
    <xf numFmtId="3" fontId="3" fillId="0" borderId="0" xfId="0" applyNumberFormat="1" applyFont="1"/>
    <xf numFmtId="0" fontId="0" fillId="0" borderId="0" xfId="0" applyAlignment="1">
      <alignment horizontal="center"/>
    </xf>
    <xf numFmtId="0" fontId="3" fillId="0" borderId="0" xfId="0" applyFont="1" applyAlignment="1">
      <alignment horizontal="center"/>
    </xf>
    <xf numFmtId="0" fontId="1" fillId="0" borderId="0" xfId="0" applyFont="1" applyAlignment="1">
      <alignment horizontal="center"/>
    </xf>
    <xf numFmtId="168" fontId="0" fillId="0" borderId="0" xfId="0" applyNumberFormat="1" applyAlignment="1">
      <alignment horizontal="center"/>
    </xf>
    <xf numFmtId="2" fontId="0" fillId="0" borderId="0" xfId="0" applyNumberFormat="1"/>
    <xf numFmtId="170" fontId="0" fillId="0" borderId="0" xfId="0" applyNumberFormat="1"/>
    <xf numFmtId="170" fontId="3" fillId="0" borderId="0" xfId="0" applyNumberFormat="1" applyFont="1"/>
    <xf numFmtId="170" fontId="0" fillId="0" borderId="0" xfId="0" applyNumberFormat="1" applyAlignment="1">
      <alignment horizontal="center"/>
    </xf>
    <xf numFmtId="170" fontId="1" fillId="0" borderId="0" xfId="0" applyNumberFormat="1" applyFont="1"/>
    <xf numFmtId="1" fontId="0" fillId="0" borderId="0" xfId="0" applyNumberFormat="1"/>
    <xf numFmtId="1" fontId="0" fillId="0" borderId="0" xfId="0" applyNumberFormat="1" applyAlignment="1">
      <alignment horizontal="center"/>
    </xf>
    <xf numFmtId="1" fontId="1" fillId="0" borderId="0" xfId="0" applyNumberFormat="1" applyFont="1"/>
    <xf numFmtId="170" fontId="1" fillId="0" borderId="0" xfId="0" applyNumberFormat="1" applyFont="1" applyAlignment="1">
      <alignment horizontal="center"/>
    </xf>
    <xf numFmtId="0" fontId="3" fillId="0" borderId="0" xfId="0" applyFont="1" applyAlignment="1">
      <alignment horizontal="right"/>
    </xf>
    <xf numFmtId="0" fontId="3" fillId="0" borderId="0" xfId="0" applyFont="1" applyAlignment="1">
      <alignment horizontal="left"/>
    </xf>
    <xf numFmtId="3" fontId="22" fillId="0" borderId="0" xfId="0" applyNumberFormat="1" applyFont="1"/>
    <xf numFmtId="0" fontId="27" fillId="0" borderId="0" xfId="0" applyFont="1"/>
    <xf numFmtId="169" fontId="27" fillId="0" borderId="0" xfId="0" applyNumberFormat="1" applyFont="1" applyAlignment="1">
      <alignment horizontal="center"/>
    </xf>
    <xf numFmtId="170" fontId="27" fillId="0" borderId="0" xfId="0" applyNumberFormat="1" applyFont="1" applyAlignment="1">
      <alignment horizontal="center"/>
    </xf>
    <xf numFmtId="170" fontId="3" fillId="0" borderId="0" xfId="0" applyNumberFormat="1" applyFont="1" applyAlignment="1">
      <alignment horizontal="center"/>
    </xf>
    <xf numFmtId="0" fontId="0" fillId="4" borderId="0" xfId="0" applyFill="1" applyAlignment="1">
      <alignment horizontal="center"/>
    </xf>
    <xf numFmtId="170" fontId="28" fillId="4" borderId="0" xfId="0" applyNumberFormat="1" applyFont="1" applyFill="1"/>
    <xf numFmtId="170" fontId="28" fillId="4" borderId="0" xfId="0" applyNumberFormat="1" applyFont="1" applyFill="1" applyAlignment="1">
      <alignment horizontal="center"/>
    </xf>
    <xf numFmtId="169" fontId="28" fillId="4" borderId="0" xfId="0" applyNumberFormat="1" applyFont="1" applyFill="1" applyAlignment="1">
      <alignment horizontal="center"/>
    </xf>
    <xf numFmtId="170" fontId="3" fillId="4" borderId="0" xfId="0" applyNumberFormat="1" applyFont="1" applyFill="1" applyAlignment="1">
      <alignment horizontal="center"/>
    </xf>
    <xf numFmtId="170" fontId="3" fillId="0" borderId="0" xfId="0" applyNumberFormat="1" applyFont="1" applyAlignment="1">
      <alignment horizontal="left"/>
    </xf>
    <xf numFmtId="0" fontId="27" fillId="4" borderId="0" xfId="0" applyFont="1" applyFill="1"/>
    <xf numFmtId="165" fontId="0" fillId="0" borderId="0" xfId="1" applyFont="1"/>
    <xf numFmtId="165" fontId="3" fillId="0" borderId="0" xfId="1" applyFont="1"/>
    <xf numFmtId="2" fontId="1" fillId="0" borderId="0" xfId="0" applyNumberFormat="1" applyFont="1"/>
    <xf numFmtId="0" fontId="1" fillId="0" borderId="0" xfId="0" quotePrefix="1" applyFont="1"/>
    <xf numFmtId="0" fontId="1" fillId="0" borderId="0" xfId="0" applyFont="1" applyAlignment="1">
      <alignment horizontal="left"/>
    </xf>
    <xf numFmtId="0" fontId="25" fillId="0" borderId="0" xfId="0" applyFont="1" applyAlignment="1">
      <alignment vertical="center" wrapText="1"/>
    </xf>
    <xf numFmtId="0" fontId="22" fillId="3" borderId="6" xfId="0" applyFont="1" applyFill="1" applyBorder="1"/>
    <xf numFmtId="164" fontId="22" fillId="3" borderId="0" xfId="0" applyNumberFormat="1" applyFont="1" applyFill="1"/>
    <xf numFmtId="0" fontId="8" fillId="0" borderId="0" xfId="0" applyFont="1"/>
    <xf numFmtId="14" fontId="0" fillId="0" borderId="0" xfId="0" applyNumberFormat="1"/>
    <xf numFmtId="0" fontId="7" fillId="0" borderId="0" xfId="0" applyFont="1"/>
    <xf numFmtId="0" fontId="14" fillId="0" borderId="0" xfId="0" applyFont="1"/>
    <xf numFmtId="0" fontId="14" fillId="0" borderId="0" xfId="0" applyFont="1" applyAlignment="1">
      <alignment horizontal="right"/>
    </xf>
    <xf numFmtId="0" fontId="15" fillId="3" borderId="1" xfId="0" applyFont="1" applyFill="1" applyBorder="1"/>
    <xf numFmtId="164" fontId="23" fillId="3" borderId="1" xfId="0" applyNumberFormat="1" applyFont="1" applyFill="1" applyBorder="1"/>
    <xf numFmtId="164" fontId="0" fillId="3" borderId="0" xfId="0" applyNumberFormat="1" applyFill="1"/>
    <xf numFmtId="0" fontId="1" fillId="3" borderId="0" xfId="0" applyFont="1" applyFill="1"/>
    <xf numFmtId="0" fontId="15" fillId="3" borderId="0" xfId="0" applyFont="1" applyFill="1"/>
    <xf numFmtId="164" fontId="15" fillId="3" borderId="0" xfId="0" applyNumberFormat="1" applyFont="1" applyFill="1"/>
    <xf numFmtId="0" fontId="3" fillId="3" borderId="0" xfId="0" applyFont="1" applyFill="1"/>
    <xf numFmtId="0" fontId="0" fillId="0" borderId="5" xfId="0" applyBorder="1"/>
    <xf numFmtId="0" fontId="0" fillId="0" borderId="11" xfId="0" applyBorder="1"/>
    <xf numFmtId="0" fontId="7" fillId="0" borderId="11" xfId="0" applyFont="1" applyBorder="1"/>
    <xf numFmtId="0" fontId="4" fillId="0" borderId="11" xfId="0" applyFont="1" applyBorder="1"/>
    <xf numFmtId="15" fontId="0" fillId="0" borderId="11" xfId="0" applyNumberFormat="1" applyBorder="1"/>
    <xf numFmtId="0" fontId="0" fillId="0" borderId="7" xfId="0" applyBorder="1"/>
    <xf numFmtId="0" fontId="2" fillId="0" borderId="1" xfId="0" applyFont="1" applyBorder="1"/>
    <xf numFmtId="0" fontId="0" fillId="0" borderId="13" xfId="0" applyBorder="1"/>
    <xf numFmtId="0" fontId="0" fillId="3" borderId="8" xfId="0" applyFill="1" applyBorder="1"/>
    <xf numFmtId="1" fontId="0" fillId="5" borderId="4" xfId="0" applyNumberFormat="1" applyFill="1" applyBorder="1"/>
    <xf numFmtId="0" fontId="0" fillId="5" borderId="2" xfId="0" applyFill="1" applyBorder="1"/>
    <xf numFmtId="0" fontId="0" fillId="5" borderId="5" xfId="0" applyFill="1" applyBorder="1"/>
    <xf numFmtId="0" fontId="3" fillId="5" borderId="6" xfId="0" applyFont="1" applyFill="1" applyBorder="1" applyAlignment="1">
      <alignment horizontal="right"/>
    </xf>
    <xf numFmtId="0" fontId="3" fillId="5" borderId="0" xfId="0" applyFont="1" applyFill="1"/>
    <xf numFmtId="0" fontId="0" fillId="5" borderId="0" xfId="0" applyFill="1"/>
    <xf numFmtId="0" fontId="0" fillId="5" borderId="7" xfId="0" applyFill="1" applyBorder="1"/>
    <xf numFmtId="1" fontId="0" fillId="5" borderId="6" xfId="0" applyNumberFormat="1" applyFill="1" applyBorder="1"/>
    <xf numFmtId="1" fontId="0" fillId="5" borderId="12" xfId="0" applyNumberFormat="1" applyFill="1" applyBorder="1"/>
    <xf numFmtId="0" fontId="0" fillId="5" borderId="1" xfId="0" applyFill="1" applyBorder="1"/>
    <xf numFmtId="0" fontId="0" fillId="5" borderId="13" xfId="0" applyFill="1" applyBorder="1"/>
    <xf numFmtId="0" fontId="25" fillId="0" borderId="0" xfId="0" applyFont="1" applyAlignment="1">
      <alignment horizontal="right"/>
    </xf>
    <xf numFmtId="168" fontId="0" fillId="0" borderId="0" xfId="0" applyNumberFormat="1"/>
    <xf numFmtId="0" fontId="0" fillId="6" borderId="2" xfId="0" applyFill="1" applyBorder="1"/>
    <xf numFmtId="164" fontId="0" fillId="6" borderId="2" xfId="2" applyFont="1" applyFill="1" applyBorder="1"/>
    <xf numFmtId="0" fontId="0" fillId="6" borderId="5" xfId="0" applyFill="1" applyBorder="1"/>
    <xf numFmtId="0" fontId="0" fillId="6" borderId="6" xfId="0" applyFill="1" applyBorder="1" applyAlignment="1">
      <alignment horizontal="left"/>
    </xf>
    <xf numFmtId="0" fontId="0" fillId="6" borderId="0" xfId="0" applyFill="1"/>
    <xf numFmtId="164" fontId="0" fillId="6" borderId="0" xfId="2" applyFont="1" applyFill="1" applyBorder="1"/>
    <xf numFmtId="0" fontId="0" fillId="6" borderId="7" xfId="0" applyFill="1" applyBorder="1"/>
    <xf numFmtId="0" fontId="0" fillId="6" borderId="12" xfId="0" applyFill="1" applyBorder="1" applyAlignment="1">
      <alignment horizontal="left"/>
    </xf>
    <xf numFmtId="0" fontId="0" fillId="6" borderId="1" xfId="0" applyFill="1" applyBorder="1"/>
    <xf numFmtId="164" fontId="0" fillId="6" borderId="1" xfId="2" applyFont="1" applyFill="1" applyBorder="1"/>
    <xf numFmtId="164" fontId="3" fillId="6" borderId="1" xfId="2" applyFont="1" applyFill="1" applyBorder="1"/>
    <xf numFmtId="164" fontId="3" fillId="6" borderId="13" xfId="0" applyNumberFormat="1" applyFont="1" applyFill="1" applyBorder="1"/>
    <xf numFmtId="0" fontId="0" fillId="6" borderId="8" xfId="0" applyFill="1" applyBorder="1" applyAlignment="1">
      <alignment horizontal="left"/>
    </xf>
    <xf numFmtId="0" fontId="0" fillId="6" borderId="3" xfId="0" applyFill="1" applyBorder="1"/>
    <xf numFmtId="0" fontId="0" fillId="6" borderId="9" xfId="0" applyFill="1" applyBorder="1"/>
    <xf numFmtId="0" fontId="1" fillId="6" borderId="4" xfId="0" applyFont="1" applyFill="1" applyBorder="1" applyAlignment="1">
      <alignment horizontal="left"/>
    </xf>
    <xf numFmtId="170" fontId="22" fillId="0" borderId="0" xfId="0" applyNumberFormat="1" applyFont="1"/>
    <xf numFmtId="164" fontId="1" fillId="0" borderId="0" xfId="2" applyFont="1"/>
    <xf numFmtId="2" fontId="3" fillId="0" borderId="0" xfId="0" applyNumberFormat="1" applyFont="1"/>
    <xf numFmtId="2" fontId="22" fillId="0" borderId="0" xfId="0" applyNumberFormat="1" applyFont="1"/>
    <xf numFmtId="0" fontId="29" fillId="0" borderId="0" xfId="0" applyFont="1" applyAlignment="1">
      <alignment horizontal="right"/>
    </xf>
    <xf numFmtId="0" fontId="29" fillId="0" borderId="0" xfId="0" applyFont="1"/>
    <xf numFmtId="2" fontId="29" fillId="0" borderId="0" xfId="0" applyNumberFormat="1" applyFont="1"/>
    <xf numFmtId="0" fontId="1" fillId="5" borderId="1" xfId="0" applyFont="1" applyFill="1" applyBorder="1"/>
    <xf numFmtId="0" fontId="1" fillId="0" borderId="1" xfId="0" applyFont="1" applyBorder="1" applyAlignment="1">
      <alignment horizontal="left"/>
    </xf>
    <xf numFmtId="0" fontId="22" fillId="0" borderId="1" xfId="0" applyFont="1" applyBorder="1" applyAlignment="1">
      <alignment horizontal="right"/>
    </xf>
    <xf numFmtId="0" fontId="29" fillId="0" borderId="1" xfId="0" applyFont="1" applyBorder="1" applyAlignment="1">
      <alignment horizontal="right"/>
    </xf>
    <xf numFmtId="170" fontId="29" fillId="0" borderId="1" xfId="0" applyNumberFormat="1" applyFont="1" applyBorder="1"/>
    <xf numFmtId="0" fontId="1" fillId="5" borderId="0" xfId="0" applyFont="1" applyFill="1"/>
    <xf numFmtId="166" fontId="23" fillId="0" borderId="1" xfId="2" applyNumberFormat="1" applyFont="1" applyBorder="1"/>
    <xf numFmtId="0" fontId="1" fillId="0" borderId="1" xfId="0" applyFont="1" applyBorder="1"/>
    <xf numFmtId="0" fontId="21" fillId="0" borderId="1" xfId="0" applyFont="1" applyBorder="1"/>
    <xf numFmtId="0" fontId="30" fillId="0" borderId="0" xfId="0" applyFont="1"/>
    <xf numFmtId="0" fontId="31" fillId="0" borderId="0" xfId="3" applyFont="1" applyAlignment="1" applyProtection="1"/>
    <xf numFmtId="44" fontId="0" fillId="0" borderId="0" xfId="0" applyNumberFormat="1"/>
    <xf numFmtId="0" fontId="1" fillId="0" borderId="0" xfId="0" applyFont="1" applyAlignment="1">
      <alignment horizontal="right" wrapText="1"/>
    </xf>
    <xf numFmtId="0" fontId="32" fillId="0" borderId="0" xfId="0" applyFont="1" applyAlignment="1">
      <alignment horizontal="right"/>
    </xf>
    <xf numFmtId="0" fontId="17" fillId="0" borderId="0" xfId="0" applyFont="1" applyAlignment="1">
      <alignment horizontal="right" vertical="top" wrapText="1"/>
    </xf>
    <xf numFmtId="0" fontId="1" fillId="0" borderId="0" xfId="0" applyFont="1" applyAlignment="1">
      <alignment vertical="center"/>
    </xf>
    <xf numFmtId="164" fontId="3" fillId="0" borderId="0" xfId="2" applyFont="1"/>
    <xf numFmtId="0" fontId="0" fillId="0" borderId="0" xfId="0" applyAlignment="1">
      <alignment wrapText="1"/>
    </xf>
    <xf numFmtId="0" fontId="1" fillId="3" borderId="1" xfId="0" applyFont="1" applyFill="1" applyBorder="1" applyAlignment="1">
      <alignment vertical="top" wrapText="1"/>
    </xf>
    <xf numFmtId="0" fontId="0" fillId="3" borderId="1" xfId="0" applyFill="1" applyBorder="1" applyAlignment="1">
      <alignment vertical="top" wrapText="1"/>
    </xf>
    <xf numFmtId="0" fontId="0" fillId="3" borderId="13" xfId="0" applyFill="1" applyBorder="1" applyAlignment="1">
      <alignment vertical="top" wrapText="1"/>
    </xf>
    <xf numFmtId="0" fontId="1" fillId="3" borderId="3" xfId="0" applyFont="1" applyFill="1" applyBorder="1" applyAlignment="1">
      <alignment vertical="top" wrapText="1"/>
    </xf>
    <xf numFmtId="0" fontId="0" fillId="3" borderId="3" xfId="0" applyFill="1" applyBorder="1" applyAlignment="1">
      <alignment vertical="top" wrapText="1"/>
    </xf>
    <xf numFmtId="0" fontId="0" fillId="3" borderId="9" xfId="0" applyFill="1" applyBorder="1" applyAlignment="1">
      <alignment vertical="top" wrapText="1"/>
    </xf>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digikey.ca/product-detail/en/nxp-usa-inc/MPXV7007GC6U/MPXV7007GC6U-ND/1168440" TargetMode="External"/><Relationship Id="rId2" Type="http://schemas.openxmlformats.org/officeDocument/2006/relationships/hyperlink" Target="http://www.marineoutfitters.ca/" TargetMode="External"/><Relationship Id="rId1" Type="http://schemas.openxmlformats.org/officeDocument/2006/relationships/hyperlink" Target="http://www.marineoutfitters.ca/" TargetMode="External"/><Relationship Id="rId5" Type="http://schemas.openxmlformats.org/officeDocument/2006/relationships/printerSettings" Target="../printerSettings/printerSettings1.bin"/><Relationship Id="rId4" Type="http://schemas.openxmlformats.org/officeDocument/2006/relationships/hyperlink" Target="http://www.marineoutfitters.ca/"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digikey.ca/product-detail/en/nxp-usa-inc/MPXV7007GC6U/MPXV7007GC6U-ND/116844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301"/>
  <sheetViews>
    <sheetView tabSelected="1" zoomScaleNormal="100" workbookViewId="0">
      <selection activeCell="Q16" sqref="Q16"/>
    </sheetView>
  </sheetViews>
  <sheetFormatPr defaultRowHeight="12.75" x14ac:dyDescent="0.2"/>
  <cols>
    <col min="1" max="1" width="6.28515625" customWidth="1"/>
    <col min="2" max="2" width="5.85546875" customWidth="1"/>
    <col min="3" max="3" width="30.85546875" customWidth="1"/>
    <col min="4" max="4" width="35.28515625" customWidth="1"/>
    <col min="5" max="5" width="34.42578125" customWidth="1"/>
    <col min="6" max="6" width="23.5703125" customWidth="1"/>
    <col min="7" max="7" width="31.42578125" style="21" customWidth="1"/>
    <col min="8" max="9" width="6.140625" hidden="1" customWidth="1"/>
    <col min="10" max="10" width="12.7109375" customWidth="1"/>
    <col min="11" max="11" width="11.42578125" customWidth="1"/>
    <col min="12" max="12" width="12.7109375" customWidth="1"/>
    <col min="13" max="13" width="10.42578125" bestFit="1" customWidth="1"/>
    <col min="14" max="14" width="12.7109375" customWidth="1"/>
    <col min="15" max="15" width="3.42578125" customWidth="1"/>
  </cols>
  <sheetData>
    <row r="1" spans="1:15" s="19" customFormat="1" x14ac:dyDescent="0.2">
      <c r="G1" s="62"/>
    </row>
    <row r="3" spans="1:15" x14ac:dyDescent="0.2">
      <c r="G3" s="189"/>
      <c r="H3" s="190"/>
      <c r="I3" s="190"/>
      <c r="J3" s="190"/>
      <c r="K3" s="190">
        <v>50</v>
      </c>
      <c r="L3" s="190">
        <v>100</v>
      </c>
      <c r="M3" s="190">
        <v>200</v>
      </c>
      <c r="N3" s="191"/>
    </row>
    <row r="4" spans="1:15" x14ac:dyDescent="0.2">
      <c r="A4" s="72"/>
      <c r="B4" s="72"/>
      <c r="C4" s="72"/>
      <c r="D4" s="72"/>
      <c r="E4" s="155"/>
      <c r="G4" s="192" t="s">
        <v>541</v>
      </c>
      <c r="H4" s="177"/>
      <c r="I4" s="177"/>
      <c r="J4" s="177" t="s">
        <v>536</v>
      </c>
      <c r="K4" s="178">
        <v>20.67</v>
      </c>
      <c r="L4" s="178">
        <v>17.87</v>
      </c>
      <c r="M4" s="178">
        <v>16.5</v>
      </c>
      <c r="N4" s="179"/>
    </row>
    <row r="5" spans="1:15" ht="27" thickBot="1" x14ac:dyDescent="0.45">
      <c r="A5" s="157" t="s">
        <v>492</v>
      </c>
      <c r="B5" s="158"/>
      <c r="C5" s="156"/>
      <c r="D5" s="159"/>
      <c r="E5" s="159">
        <v>44991</v>
      </c>
      <c r="G5" s="180"/>
      <c r="H5" s="181"/>
      <c r="I5" s="181"/>
      <c r="J5" s="181" t="s">
        <v>537</v>
      </c>
      <c r="K5" s="182">
        <v>7.84</v>
      </c>
      <c r="L5" s="182">
        <v>5.84</v>
      </c>
      <c r="M5" s="182">
        <v>4.84</v>
      </c>
      <c r="N5" s="183"/>
    </row>
    <row r="6" spans="1:15" ht="13.5" thickTop="1" x14ac:dyDescent="0.2">
      <c r="E6" s="160"/>
      <c r="G6" s="180"/>
      <c r="H6" s="181"/>
      <c r="I6" s="181"/>
      <c r="J6" s="181" t="s">
        <v>538</v>
      </c>
      <c r="K6" s="182">
        <v>6.29</v>
      </c>
      <c r="L6" s="182">
        <v>4.49</v>
      </c>
      <c r="M6" s="182">
        <v>3.59</v>
      </c>
      <c r="N6" s="183"/>
    </row>
    <row r="7" spans="1:15" ht="20.25" x14ac:dyDescent="0.3">
      <c r="A7" s="9"/>
      <c r="B7" s="161"/>
      <c r="C7" s="12" t="e">
        <f>#REF!*1.05</f>
        <v>#REF!</v>
      </c>
      <c r="D7" s="9"/>
      <c r="E7" s="162"/>
      <c r="G7" s="184"/>
      <c r="H7" s="185"/>
      <c r="I7" s="185"/>
      <c r="J7" s="185" t="s">
        <v>539</v>
      </c>
      <c r="K7" s="186">
        <f>K3*(K4+K6)+L3*L5+200</f>
        <v>2132</v>
      </c>
      <c r="L7" s="186" t="str">
        <f xml:space="preserve"> "+ tax and ship"</f>
        <v>+ tax and ship</v>
      </c>
      <c r="M7" s="187" t="s">
        <v>540</v>
      </c>
      <c r="N7" s="188">
        <f>(K7*1.12*1.1)/K3</f>
        <v>52.532480000000007</v>
      </c>
    </row>
    <row r="8" spans="1:15" ht="20.25" x14ac:dyDescent="0.3">
      <c r="A8" s="1"/>
      <c r="B8" s="1"/>
      <c r="K8" s="4"/>
    </row>
    <row r="9" spans="1:15" x14ac:dyDescent="0.2">
      <c r="A9" s="24" t="s">
        <v>135</v>
      </c>
      <c r="B9" t="s">
        <v>21</v>
      </c>
      <c r="C9" t="s">
        <v>227</v>
      </c>
      <c r="D9" t="s">
        <v>228</v>
      </c>
      <c r="E9" t="s">
        <v>23</v>
      </c>
      <c r="F9" t="s">
        <v>229</v>
      </c>
      <c r="G9" s="21" t="s">
        <v>230</v>
      </c>
      <c r="H9">
        <v>1</v>
      </c>
      <c r="I9" t="s">
        <v>24</v>
      </c>
      <c r="J9" s="3">
        <f>475*1.15</f>
        <v>546.25</v>
      </c>
      <c r="K9" s="3"/>
      <c r="L9" s="3">
        <f>(K9+J9)*0.1</f>
        <v>54.625</v>
      </c>
      <c r="M9">
        <v>1</v>
      </c>
      <c r="N9" s="4">
        <f>M9*(L9+K9*$K$34+J9)</f>
        <v>600.875</v>
      </c>
      <c r="O9" s="4"/>
    </row>
    <row r="10" spans="1:15" x14ac:dyDescent="0.2">
      <c r="J10" s="3"/>
      <c r="K10" s="3"/>
      <c r="L10" s="3"/>
      <c r="N10" s="4"/>
      <c r="O10" s="4"/>
    </row>
    <row r="11" spans="1:15" ht="20.25" x14ac:dyDescent="0.3">
      <c r="A11" s="1" t="s">
        <v>666</v>
      </c>
      <c r="I11" s="71" t="s">
        <v>186</v>
      </c>
      <c r="K11" s="71">
        <v>1.39</v>
      </c>
    </row>
    <row r="12" spans="1:15" x14ac:dyDescent="0.2">
      <c r="A12" s="2" t="s">
        <v>4</v>
      </c>
      <c r="B12" s="2" t="s">
        <v>5</v>
      </c>
      <c r="C12" s="2" t="s">
        <v>6</v>
      </c>
      <c r="D12" s="2" t="s">
        <v>7</v>
      </c>
      <c r="E12" s="2" t="s">
        <v>8</v>
      </c>
      <c r="F12" s="2" t="s">
        <v>9</v>
      </c>
      <c r="G12" s="63" t="s">
        <v>10</v>
      </c>
      <c r="H12" s="2" t="s">
        <v>11</v>
      </c>
      <c r="I12" s="2" t="s">
        <v>12</v>
      </c>
      <c r="J12" s="2" t="s">
        <v>13</v>
      </c>
      <c r="K12" s="2" t="s">
        <v>14</v>
      </c>
      <c r="L12" s="2" t="s">
        <v>15</v>
      </c>
      <c r="M12" s="2" t="s">
        <v>16</v>
      </c>
      <c r="N12" s="2" t="s">
        <v>17</v>
      </c>
      <c r="O12" s="2"/>
    </row>
    <row r="13" spans="1:15" x14ac:dyDescent="0.2">
      <c r="A13">
        <v>100</v>
      </c>
      <c r="B13" t="s">
        <v>418</v>
      </c>
      <c r="C13" t="s">
        <v>183</v>
      </c>
      <c r="D13" t="s">
        <v>184</v>
      </c>
      <c r="E13" t="s">
        <v>23</v>
      </c>
      <c r="F13" t="s">
        <v>76</v>
      </c>
      <c r="G13" s="60" t="s">
        <v>187</v>
      </c>
      <c r="H13">
        <v>3</v>
      </c>
      <c r="I13" t="s">
        <v>24</v>
      </c>
      <c r="J13" s="3">
        <v>105</v>
      </c>
      <c r="K13" s="3"/>
      <c r="L13" s="3">
        <f>(K13+J13)*0.1</f>
        <v>10.5</v>
      </c>
      <c r="M13">
        <v>1</v>
      </c>
      <c r="N13" s="4">
        <f>M13*(L13+K13*$K$34+J13)</f>
        <v>115.5</v>
      </c>
      <c r="O13" s="4"/>
    </row>
    <row r="14" spans="1:15" x14ac:dyDescent="0.2">
      <c r="A14">
        <f>A13+1</f>
        <v>101</v>
      </c>
      <c r="B14" t="s">
        <v>418</v>
      </c>
      <c r="C14" s="48" t="s">
        <v>432</v>
      </c>
      <c r="D14" s="48" t="s">
        <v>788</v>
      </c>
      <c r="E14" t="s">
        <v>30</v>
      </c>
      <c r="F14" t="s">
        <v>31</v>
      </c>
      <c r="G14" s="139" t="s">
        <v>695</v>
      </c>
      <c r="H14">
        <v>4</v>
      </c>
      <c r="I14" t="s">
        <v>24</v>
      </c>
      <c r="J14" s="3">
        <f>'PCB - BOM'!Q53</f>
        <v>255.18299999999994</v>
      </c>
      <c r="K14" s="3"/>
      <c r="L14" s="3">
        <v>0</v>
      </c>
      <c r="M14">
        <v>1</v>
      </c>
      <c r="N14" s="4">
        <f>M14*(L14+K14*$K$34+J14)</f>
        <v>255.18299999999994</v>
      </c>
      <c r="O14" s="4"/>
    </row>
    <row r="15" spans="1:15" x14ac:dyDescent="0.2">
      <c r="A15">
        <f>A14+1</f>
        <v>102</v>
      </c>
      <c r="B15" t="s">
        <v>418</v>
      </c>
      <c r="C15" s="29" t="s">
        <v>240</v>
      </c>
      <c r="D15" s="29" t="s">
        <v>262</v>
      </c>
      <c r="E15" t="s">
        <v>23</v>
      </c>
      <c r="F15" s="29" t="s">
        <v>271</v>
      </c>
      <c r="G15" s="60" t="s">
        <v>272</v>
      </c>
      <c r="H15">
        <v>10</v>
      </c>
      <c r="I15" t="s">
        <v>24</v>
      </c>
      <c r="J15" s="3">
        <v>55</v>
      </c>
      <c r="K15" s="3"/>
      <c r="L15" s="3">
        <f>(K15+J15)*0.1</f>
        <v>5.5</v>
      </c>
      <c r="M15">
        <v>1</v>
      </c>
      <c r="N15" s="4">
        <f t="shared" ref="N15:N28" si="0">M15*(L15+K15*$K$34+J15)</f>
        <v>60.5</v>
      </c>
      <c r="O15" s="4"/>
    </row>
    <row r="16" spans="1:15" ht="25.5" x14ac:dyDescent="0.2">
      <c r="A16">
        <f t="shared" ref="A16:A26" si="1">A15+1</f>
        <v>103</v>
      </c>
      <c r="B16" t="s">
        <v>418</v>
      </c>
      <c r="C16" s="54" t="s">
        <v>221</v>
      </c>
      <c r="D16" s="53" t="s">
        <v>223</v>
      </c>
      <c r="E16" s="54" t="s">
        <v>23</v>
      </c>
      <c r="F16" s="55" t="s">
        <v>222</v>
      </c>
      <c r="G16" s="65" t="s">
        <v>224</v>
      </c>
      <c r="H16" s="54">
        <v>4</v>
      </c>
      <c r="I16" s="54" t="s">
        <v>24</v>
      </c>
      <c r="J16" s="56"/>
      <c r="K16" s="56">
        <v>22.75</v>
      </c>
      <c r="L16" s="56">
        <v>32</v>
      </c>
      <c r="M16" s="54">
        <v>1</v>
      </c>
      <c r="N16" s="4">
        <f t="shared" si="0"/>
        <v>63.622500000000002</v>
      </c>
      <c r="O16" s="57"/>
    </row>
    <row r="17" spans="1:15" x14ac:dyDescent="0.2">
      <c r="A17">
        <f t="shared" si="1"/>
        <v>104</v>
      </c>
      <c r="B17" t="s">
        <v>418</v>
      </c>
      <c r="C17" s="29" t="s">
        <v>346</v>
      </c>
      <c r="D17" s="29" t="s">
        <v>364</v>
      </c>
      <c r="E17" s="29" t="s">
        <v>347</v>
      </c>
      <c r="F17" s="29" t="s">
        <v>199</v>
      </c>
      <c r="G17" s="21" t="s">
        <v>365</v>
      </c>
      <c r="H17">
        <v>1</v>
      </c>
      <c r="I17" t="s">
        <v>24</v>
      </c>
      <c r="J17" s="3"/>
      <c r="K17" s="3">
        <v>0.1</v>
      </c>
      <c r="L17" s="3">
        <f t="shared" ref="L17:L22" si="2">(K17+J17)*0.1</f>
        <v>1.0000000000000002E-2</v>
      </c>
      <c r="M17">
        <v>4</v>
      </c>
      <c r="N17" s="4">
        <f t="shared" si="0"/>
        <v>0.59599999999999997</v>
      </c>
      <c r="O17" s="4"/>
    </row>
    <row r="18" spans="1:15" x14ac:dyDescent="0.2">
      <c r="A18">
        <f t="shared" si="1"/>
        <v>105</v>
      </c>
      <c r="B18" t="s">
        <v>418</v>
      </c>
      <c r="C18" s="29" t="s">
        <v>346</v>
      </c>
      <c r="D18" s="29" t="s">
        <v>370</v>
      </c>
      <c r="E18" s="29" t="s">
        <v>347</v>
      </c>
      <c r="F18" s="29" t="s">
        <v>199</v>
      </c>
      <c r="G18" s="21" t="s">
        <v>366</v>
      </c>
      <c r="H18">
        <v>1</v>
      </c>
      <c r="I18" t="s">
        <v>24</v>
      </c>
      <c r="J18" s="3"/>
      <c r="K18" s="3">
        <v>0.1</v>
      </c>
      <c r="L18" s="3">
        <f t="shared" si="2"/>
        <v>1.0000000000000002E-2</v>
      </c>
      <c r="M18">
        <v>4</v>
      </c>
      <c r="N18" s="4">
        <f t="shared" si="0"/>
        <v>0.59599999999999997</v>
      </c>
      <c r="O18" s="4"/>
    </row>
    <row r="19" spans="1:15" x14ac:dyDescent="0.2">
      <c r="A19">
        <f t="shared" si="1"/>
        <v>106</v>
      </c>
      <c r="B19" t="s">
        <v>418</v>
      </c>
      <c r="C19" s="29" t="s">
        <v>225</v>
      </c>
      <c r="D19" t="s">
        <v>203</v>
      </c>
      <c r="E19" t="s">
        <v>27</v>
      </c>
      <c r="F19" t="s">
        <v>193</v>
      </c>
      <c r="G19" s="66" t="s">
        <v>251</v>
      </c>
      <c r="H19">
        <v>4</v>
      </c>
      <c r="I19" t="s">
        <v>24</v>
      </c>
      <c r="J19" s="3">
        <v>32</v>
      </c>
      <c r="K19" s="3"/>
      <c r="L19" s="3">
        <f t="shared" si="2"/>
        <v>3.2</v>
      </c>
      <c r="M19">
        <v>1</v>
      </c>
      <c r="N19" s="4">
        <f t="shared" si="0"/>
        <v>35.200000000000003</v>
      </c>
      <c r="O19" s="4"/>
    </row>
    <row r="20" spans="1:15" x14ac:dyDescent="0.2">
      <c r="A20">
        <f t="shared" si="1"/>
        <v>107</v>
      </c>
      <c r="B20" t="s">
        <v>418</v>
      </c>
      <c r="C20" t="s">
        <v>57</v>
      </c>
      <c r="D20" t="s">
        <v>246</v>
      </c>
      <c r="E20" t="s">
        <v>50</v>
      </c>
      <c r="F20" t="s">
        <v>25</v>
      </c>
      <c r="H20">
        <v>4</v>
      </c>
      <c r="I20" t="s">
        <v>24</v>
      </c>
      <c r="J20" s="3">
        <v>15</v>
      </c>
      <c r="K20" s="3"/>
      <c r="L20" s="3">
        <f t="shared" si="2"/>
        <v>1.5</v>
      </c>
      <c r="M20">
        <v>1</v>
      </c>
      <c r="N20" s="4">
        <f t="shared" si="0"/>
        <v>16.5</v>
      </c>
      <c r="O20" s="4"/>
    </row>
    <row r="21" spans="1:15" x14ac:dyDescent="0.2">
      <c r="A21">
        <f t="shared" si="1"/>
        <v>108</v>
      </c>
      <c r="B21" t="s">
        <v>418</v>
      </c>
      <c r="C21" s="29" t="s">
        <v>252</v>
      </c>
      <c r="D21" s="29" t="s">
        <v>255</v>
      </c>
      <c r="E21" t="s">
        <v>27</v>
      </c>
      <c r="F21" t="s">
        <v>193</v>
      </c>
      <c r="G21" s="60" t="s">
        <v>249</v>
      </c>
      <c r="H21">
        <v>4</v>
      </c>
      <c r="I21" t="s">
        <v>24</v>
      </c>
      <c r="J21" s="3">
        <v>38</v>
      </c>
      <c r="K21" s="3"/>
      <c r="L21" s="3">
        <f t="shared" si="2"/>
        <v>3.8000000000000003</v>
      </c>
      <c r="M21">
        <v>1</v>
      </c>
      <c r="N21" s="4">
        <f t="shared" si="0"/>
        <v>41.8</v>
      </c>
      <c r="O21" s="4"/>
    </row>
    <row r="22" spans="1:15" x14ac:dyDescent="0.2">
      <c r="A22">
        <f t="shared" si="1"/>
        <v>109</v>
      </c>
      <c r="B22" t="s">
        <v>418</v>
      </c>
      <c r="C22" s="29" t="s">
        <v>253</v>
      </c>
      <c r="D22" s="29" t="s">
        <v>254</v>
      </c>
      <c r="E22" t="s">
        <v>27</v>
      </c>
      <c r="F22" t="s">
        <v>193</v>
      </c>
      <c r="G22" s="67" t="s">
        <v>257</v>
      </c>
      <c r="H22">
        <v>4</v>
      </c>
      <c r="I22" t="s">
        <v>24</v>
      </c>
      <c r="J22" s="3">
        <v>3</v>
      </c>
      <c r="K22" s="3"/>
      <c r="L22" s="3">
        <f t="shared" si="2"/>
        <v>0.30000000000000004</v>
      </c>
      <c r="M22">
        <v>1</v>
      </c>
      <c r="N22" s="4">
        <f t="shared" si="0"/>
        <v>3.3</v>
      </c>
      <c r="O22" s="4"/>
    </row>
    <row r="23" spans="1:15" x14ac:dyDescent="0.2">
      <c r="A23">
        <f t="shared" si="1"/>
        <v>110</v>
      </c>
      <c r="B23" t="s">
        <v>418</v>
      </c>
      <c r="C23" s="29" t="s">
        <v>361</v>
      </c>
      <c r="D23" s="29" t="s">
        <v>362</v>
      </c>
      <c r="E23" t="s">
        <v>50</v>
      </c>
      <c r="F23" s="29" t="s">
        <v>199</v>
      </c>
      <c r="G23" s="21" t="s">
        <v>363</v>
      </c>
      <c r="H23">
        <v>1</v>
      </c>
      <c r="I23" t="s">
        <v>24</v>
      </c>
      <c r="J23" s="3"/>
      <c r="K23" s="3">
        <v>0.1</v>
      </c>
      <c r="L23" s="3">
        <f>(K23+J23)*0.1</f>
        <v>1.0000000000000002E-2</v>
      </c>
      <c r="M23">
        <v>4</v>
      </c>
      <c r="N23" s="4">
        <f t="shared" si="0"/>
        <v>0.59599999999999997</v>
      </c>
      <c r="O23" s="4"/>
    </row>
    <row r="24" spans="1:15" x14ac:dyDescent="0.2">
      <c r="A24">
        <f t="shared" si="1"/>
        <v>111</v>
      </c>
      <c r="B24" t="s">
        <v>418</v>
      </c>
      <c r="C24" s="29" t="s">
        <v>368</v>
      </c>
      <c r="D24" s="29" t="s">
        <v>369</v>
      </c>
      <c r="E24" t="s">
        <v>50</v>
      </c>
      <c r="F24" s="29" t="s">
        <v>199</v>
      </c>
      <c r="G24" s="139" t="s">
        <v>458</v>
      </c>
      <c r="H24">
        <v>1</v>
      </c>
      <c r="I24" t="s">
        <v>24</v>
      </c>
      <c r="J24" s="3"/>
      <c r="K24" s="3">
        <v>3.24</v>
      </c>
      <c r="L24" s="3">
        <f>(K24+J24)*0.1</f>
        <v>0.32400000000000007</v>
      </c>
      <c r="M24">
        <v>1</v>
      </c>
      <c r="N24" s="4">
        <f t="shared" si="0"/>
        <v>4.8275999999999994</v>
      </c>
      <c r="O24" s="4"/>
    </row>
    <row r="25" spans="1:15" x14ac:dyDescent="0.2">
      <c r="A25">
        <f t="shared" si="1"/>
        <v>112</v>
      </c>
      <c r="B25" t="s">
        <v>418</v>
      </c>
      <c r="C25" s="29" t="s">
        <v>349</v>
      </c>
      <c r="D25" s="29" t="s">
        <v>348</v>
      </c>
      <c r="E25" t="s">
        <v>29</v>
      </c>
      <c r="F25" s="29" t="s">
        <v>273</v>
      </c>
      <c r="G25" s="60" t="s">
        <v>350</v>
      </c>
      <c r="H25">
        <v>1</v>
      </c>
      <c r="I25" t="s">
        <v>24</v>
      </c>
      <c r="J25" s="3">
        <v>0</v>
      </c>
      <c r="K25" s="3"/>
      <c r="L25" s="3">
        <f>(K25+J25)*0.1</f>
        <v>0</v>
      </c>
      <c r="M25">
        <v>2</v>
      </c>
      <c r="N25" s="4">
        <f t="shared" si="0"/>
        <v>0</v>
      </c>
      <c r="O25" s="4"/>
    </row>
    <row r="26" spans="1:15" x14ac:dyDescent="0.2">
      <c r="A26">
        <f t="shared" si="1"/>
        <v>113</v>
      </c>
      <c r="B26" t="s">
        <v>418</v>
      </c>
      <c r="C26" t="s">
        <v>33</v>
      </c>
      <c r="D26" t="s">
        <v>33</v>
      </c>
      <c r="E26" t="s">
        <v>30</v>
      </c>
      <c r="F26" t="s">
        <v>31</v>
      </c>
      <c r="H26">
        <v>2</v>
      </c>
      <c r="I26" t="s">
        <v>28</v>
      </c>
      <c r="J26" s="3">
        <v>3</v>
      </c>
      <c r="K26" s="3"/>
      <c r="L26" s="3">
        <f>(K26+J26)*0.1</f>
        <v>0.30000000000000004</v>
      </c>
      <c r="M26">
        <v>1</v>
      </c>
      <c r="N26" s="4">
        <f t="shared" si="0"/>
        <v>3.3</v>
      </c>
      <c r="O26" s="4"/>
    </row>
    <row r="27" spans="1:15" x14ac:dyDescent="0.2">
      <c r="A27">
        <v>197</v>
      </c>
      <c r="B27" t="s">
        <v>418</v>
      </c>
      <c r="C27" s="6" t="s">
        <v>42</v>
      </c>
      <c r="F27" t="s">
        <v>181</v>
      </c>
      <c r="H27">
        <v>2</v>
      </c>
      <c r="I27" t="s">
        <v>28</v>
      </c>
      <c r="J27" s="3"/>
      <c r="K27" s="3"/>
      <c r="L27" s="3">
        <v>0</v>
      </c>
      <c r="M27">
        <v>1</v>
      </c>
      <c r="N27" s="4">
        <f t="shared" si="0"/>
        <v>0</v>
      </c>
      <c r="O27" s="4"/>
    </row>
    <row r="28" spans="1:15" x14ac:dyDescent="0.2">
      <c r="A28">
        <v>198</v>
      </c>
      <c r="B28" t="s">
        <v>418</v>
      </c>
      <c r="C28" s="2" t="s">
        <v>43</v>
      </c>
      <c r="D28" s="9"/>
      <c r="E28" s="9"/>
      <c r="F28" s="9"/>
      <c r="G28" s="49"/>
      <c r="H28" s="9">
        <v>2</v>
      </c>
      <c r="I28" s="9" t="s">
        <v>28</v>
      </c>
      <c r="J28" s="11"/>
      <c r="K28" s="11"/>
      <c r="L28" s="11">
        <v>0</v>
      </c>
      <c r="M28" s="9">
        <v>1</v>
      </c>
      <c r="N28" s="12">
        <f t="shared" si="0"/>
        <v>0</v>
      </c>
      <c r="O28" s="4"/>
    </row>
    <row r="29" spans="1:15" x14ac:dyDescent="0.2">
      <c r="A29">
        <v>199</v>
      </c>
      <c r="B29" t="s">
        <v>418</v>
      </c>
      <c r="C29" s="6" t="s">
        <v>821</v>
      </c>
      <c r="J29" s="7"/>
      <c r="K29" s="3"/>
      <c r="L29" s="7">
        <f>SUM(L13:L28)</f>
        <v>57.453999999999986</v>
      </c>
      <c r="N29" s="4">
        <f>SUM(N13:N28)</f>
        <v>601.52109999999982</v>
      </c>
      <c r="O29" s="7"/>
    </row>
    <row r="30" spans="1:15" x14ac:dyDescent="0.2">
      <c r="B30" s="9"/>
      <c r="C30" s="2" t="s">
        <v>758</v>
      </c>
      <c r="D30" s="9"/>
      <c r="E30" s="9"/>
      <c r="F30" s="9"/>
      <c r="G30" s="49"/>
      <c r="H30" s="9"/>
      <c r="I30" s="9"/>
      <c r="J30" s="11"/>
      <c r="K30" s="11"/>
      <c r="L30" s="11"/>
      <c r="M30" s="9"/>
      <c r="N30" s="12"/>
      <c r="O30" s="7"/>
    </row>
    <row r="31" spans="1:15" x14ac:dyDescent="0.2">
      <c r="C31" s="6" t="s">
        <v>759</v>
      </c>
      <c r="J31" s="3"/>
      <c r="K31" s="3"/>
      <c r="L31" s="3"/>
      <c r="N31" s="7">
        <f>N30+N29</f>
        <v>601.52109999999982</v>
      </c>
      <c r="O31" s="7"/>
    </row>
    <row r="32" spans="1:15" ht="15.75" x14ac:dyDescent="0.25">
      <c r="B32" s="9"/>
      <c r="C32" s="9" t="s">
        <v>45</v>
      </c>
      <c r="D32" s="9"/>
      <c r="E32" s="9"/>
      <c r="F32" s="9"/>
      <c r="G32" s="49"/>
      <c r="H32" s="9"/>
      <c r="I32" s="9"/>
      <c r="J32" s="11"/>
      <c r="K32" s="11"/>
      <c r="L32" s="82" t="s">
        <v>220</v>
      </c>
      <c r="M32" s="12"/>
      <c r="N32" s="77">
        <v>1675</v>
      </c>
      <c r="O32" s="13"/>
    </row>
    <row r="33" spans="1:15" x14ac:dyDescent="0.2">
      <c r="C33" s="6"/>
      <c r="J33" s="46"/>
      <c r="K33" s="46"/>
      <c r="L33" s="46"/>
      <c r="N33" s="4"/>
      <c r="O33" s="4"/>
    </row>
    <row r="34" spans="1:15" ht="20.25" x14ac:dyDescent="0.3">
      <c r="A34" s="26" t="s">
        <v>226</v>
      </c>
      <c r="I34" s="71" t="s">
        <v>186</v>
      </c>
      <c r="J34" s="211"/>
      <c r="K34" s="71">
        <v>1.39</v>
      </c>
    </row>
    <row r="35" spans="1:15" x14ac:dyDescent="0.2">
      <c r="A35" s="2" t="s">
        <v>4</v>
      </c>
      <c r="B35" s="2" t="s">
        <v>5</v>
      </c>
      <c r="C35" s="2" t="s">
        <v>6</v>
      </c>
      <c r="D35" s="2" t="s">
        <v>7</v>
      </c>
      <c r="E35" s="2" t="s">
        <v>8</v>
      </c>
      <c r="F35" s="2" t="s">
        <v>9</v>
      </c>
      <c r="G35" s="63" t="s">
        <v>10</v>
      </c>
      <c r="H35" s="2" t="s">
        <v>11</v>
      </c>
      <c r="I35" s="2" t="s">
        <v>12</v>
      </c>
      <c r="J35" s="2" t="s">
        <v>13</v>
      </c>
      <c r="K35" s="2" t="s">
        <v>14</v>
      </c>
      <c r="L35" s="2" t="s">
        <v>15</v>
      </c>
      <c r="M35" s="2" t="s">
        <v>16</v>
      </c>
      <c r="N35" s="2" t="s">
        <v>17</v>
      </c>
      <c r="O35" s="2"/>
    </row>
    <row r="36" spans="1:15" x14ac:dyDescent="0.2">
      <c r="A36">
        <v>100</v>
      </c>
      <c r="B36" t="s">
        <v>418</v>
      </c>
      <c r="C36" t="s">
        <v>183</v>
      </c>
      <c r="D36" t="s">
        <v>184</v>
      </c>
      <c r="E36" t="s">
        <v>23</v>
      </c>
      <c r="F36" t="s">
        <v>76</v>
      </c>
      <c r="G36" s="60" t="s">
        <v>187</v>
      </c>
      <c r="H36">
        <v>3</v>
      </c>
      <c r="I36" t="s">
        <v>24</v>
      </c>
      <c r="J36" s="3">
        <v>105</v>
      </c>
      <c r="K36" s="3"/>
      <c r="L36" s="3">
        <f>(K36+J36)*0.1</f>
        <v>10.5</v>
      </c>
      <c r="M36">
        <v>1</v>
      </c>
      <c r="N36" s="4">
        <f t="shared" ref="N36:N46" si="3">M36*(L36+K36*$K$34+J36)</f>
        <v>115.5</v>
      </c>
      <c r="O36" s="4"/>
    </row>
    <row r="37" spans="1:15" x14ac:dyDescent="0.2">
      <c r="A37">
        <f>A36+1</f>
        <v>101</v>
      </c>
      <c r="B37" t="s">
        <v>418</v>
      </c>
      <c r="C37" s="48" t="s">
        <v>432</v>
      </c>
      <c r="D37" s="29" t="s">
        <v>275</v>
      </c>
      <c r="E37" t="s">
        <v>30</v>
      </c>
      <c r="F37" t="s">
        <v>31</v>
      </c>
      <c r="G37" s="139" t="s">
        <v>431</v>
      </c>
      <c r="H37">
        <v>4</v>
      </c>
      <c r="I37" t="s">
        <v>24</v>
      </c>
      <c r="J37" s="3">
        <f>'PCB - BOM'!$Q$107</f>
        <v>280.45599999999996</v>
      </c>
      <c r="K37" s="3"/>
      <c r="L37" s="3">
        <v>0</v>
      </c>
      <c r="M37">
        <v>1</v>
      </c>
      <c r="N37" s="4">
        <f t="shared" si="3"/>
        <v>280.45599999999996</v>
      </c>
      <c r="O37" s="4"/>
    </row>
    <row r="38" spans="1:15" x14ac:dyDescent="0.2">
      <c r="A38">
        <f t="shared" ref="A38:A50" si="4">A37+1</f>
        <v>102</v>
      </c>
      <c r="B38" t="s">
        <v>418</v>
      </c>
      <c r="C38" s="29" t="s">
        <v>259</v>
      </c>
      <c r="D38" s="29" t="s">
        <v>261</v>
      </c>
      <c r="E38" s="29" t="s">
        <v>245</v>
      </c>
      <c r="F38" s="29" t="s">
        <v>260</v>
      </c>
      <c r="G38" s="60" t="s">
        <v>258</v>
      </c>
      <c r="H38" s="29">
        <v>4</v>
      </c>
      <c r="I38" s="29" t="s">
        <v>24</v>
      </c>
      <c r="J38" s="37">
        <v>150</v>
      </c>
      <c r="K38" s="37"/>
      <c r="L38" s="3">
        <f>(K38+J38)*0.1</f>
        <v>15</v>
      </c>
      <c r="M38">
        <v>1</v>
      </c>
      <c r="N38" s="4">
        <f t="shared" si="3"/>
        <v>165</v>
      </c>
      <c r="O38" s="4"/>
    </row>
    <row r="39" spans="1:15" x14ac:dyDescent="0.2">
      <c r="A39">
        <f t="shared" si="4"/>
        <v>103</v>
      </c>
      <c r="B39" t="s">
        <v>418</v>
      </c>
      <c r="C39" s="29" t="s">
        <v>240</v>
      </c>
      <c r="D39" s="29" t="s">
        <v>262</v>
      </c>
      <c r="E39" t="s">
        <v>23</v>
      </c>
      <c r="F39" s="29" t="s">
        <v>271</v>
      </c>
      <c r="G39" s="60" t="s">
        <v>272</v>
      </c>
      <c r="H39">
        <v>10</v>
      </c>
      <c r="I39" t="s">
        <v>24</v>
      </c>
      <c r="J39" s="3">
        <v>55</v>
      </c>
      <c r="K39" s="3"/>
      <c r="L39" s="3">
        <f>(K39+J39)*0.1</f>
        <v>5.5</v>
      </c>
      <c r="M39">
        <v>1</v>
      </c>
      <c r="N39" s="4">
        <f t="shared" si="3"/>
        <v>60.5</v>
      </c>
      <c r="O39" s="4"/>
    </row>
    <row r="40" spans="1:15" ht="25.5" x14ac:dyDescent="0.2">
      <c r="A40">
        <f t="shared" si="4"/>
        <v>104</v>
      </c>
      <c r="B40" t="s">
        <v>418</v>
      </c>
      <c r="C40" s="54" t="s">
        <v>221</v>
      </c>
      <c r="D40" s="53" t="s">
        <v>223</v>
      </c>
      <c r="E40" s="54" t="s">
        <v>23</v>
      </c>
      <c r="F40" s="55" t="s">
        <v>222</v>
      </c>
      <c r="G40" s="65" t="s">
        <v>224</v>
      </c>
      <c r="H40" s="54">
        <v>4</v>
      </c>
      <c r="I40" s="54" t="s">
        <v>24</v>
      </c>
      <c r="J40" s="56"/>
      <c r="K40" s="56">
        <v>22.75</v>
      </c>
      <c r="L40" s="56">
        <v>32</v>
      </c>
      <c r="M40" s="54">
        <v>1</v>
      </c>
      <c r="N40" s="4">
        <f t="shared" si="3"/>
        <v>63.622500000000002</v>
      </c>
      <c r="O40" s="57"/>
    </row>
    <row r="41" spans="1:15" x14ac:dyDescent="0.2">
      <c r="A41">
        <f t="shared" si="4"/>
        <v>105</v>
      </c>
      <c r="B41" t="s">
        <v>418</v>
      </c>
      <c r="C41" s="29" t="s">
        <v>346</v>
      </c>
      <c r="D41" s="29" t="s">
        <v>364</v>
      </c>
      <c r="E41" s="29" t="s">
        <v>347</v>
      </c>
      <c r="F41" s="29" t="s">
        <v>199</v>
      </c>
      <c r="G41" s="21" t="s">
        <v>365</v>
      </c>
      <c r="H41">
        <v>1</v>
      </c>
      <c r="I41" t="s">
        <v>24</v>
      </c>
      <c r="J41" s="3"/>
      <c r="K41" s="3">
        <v>0.1</v>
      </c>
      <c r="L41" s="3">
        <f t="shared" ref="L41:L46" si="5">(K41+J41)*0.1</f>
        <v>1.0000000000000002E-2</v>
      </c>
      <c r="M41">
        <v>4</v>
      </c>
      <c r="N41" s="4">
        <f t="shared" si="3"/>
        <v>0.59599999999999997</v>
      </c>
      <c r="O41" s="4"/>
    </row>
    <row r="42" spans="1:15" x14ac:dyDescent="0.2">
      <c r="A42">
        <f t="shared" si="4"/>
        <v>106</v>
      </c>
      <c r="B42" t="s">
        <v>418</v>
      </c>
      <c r="C42" s="29" t="s">
        <v>346</v>
      </c>
      <c r="D42" s="29" t="s">
        <v>370</v>
      </c>
      <c r="E42" s="29" t="s">
        <v>347</v>
      </c>
      <c r="F42" s="29" t="s">
        <v>199</v>
      </c>
      <c r="G42" s="21" t="s">
        <v>366</v>
      </c>
      <c r="H42">
        <v>1</v>
      </c>
      <c r="I42" t="s">
        <v>24</v>
      </c>
      <c r="J42" s="3"/>
      <c r="K42" s="3">
        <v>0.1</v>
      </c>
      <c r="L42" s="3">
        <f t="shared" si="5"/>
        <v>1.0000000000000002E-2</v>
      </c>
      <c r="M42">
        <v>4</v>
      </c>
      <c r="N42" s="4">
        <f t="shared" si="3"/>
        <v>0.59599999999999997</v>
      </c>
      <c r="O42" s="4"/>
    </row>
    <row r="43" spans="1:15" x14ac:dyDescent="0.2">
      <c r="A43">
        <f t="shared" si="4"/>
        <v>107</v>
      </c>
      <c r="B43" t="s">
        <v>418</v>
      </c>
      <c r="C43" s="29" t="s">
        <v>225</v>
      </c>
      <c r="D43" t="s">
        <v>203</v>
      </c>
      <c r="E43" t="s">
        <v>27</v>
      </c>
      <c r="F43" t="s">
        <v>193</v>
      </c>
      <c r="G43" s="66" t="s">
        <v>251</v>
      </c>
      <c r="H43">
        <v>4</v>
      </c>
      <c r="I43" t="s">
        <v>24</v>
      </c>
      <c r="J43" s="3">
        <v>32</v>
      </c>
      <c r="K43" s="3"/>
      <c r="L43" s="3">
        <f t="shared" si="5"/>
        <v>3.2</v>
      </c>
      <c r="M43">
        <v>1</v>
      </c>
      <c r="N43" s="4">
        <f t="shared" si="3"/>
        <v>35.200000000000003</v>
      </c>
      <c r="O43" s="4"/>
    </row>
    <row r="44" spans="1:15" x14ac:dyDescent="0.2">
      <c r="A44">
        <f t="shared" si="4"/>
        <v>108</v>
      </c>
      <c r="B44" t="s">
        <v>418</v>
      </c>
      <c r="C44" t="s">
        <v>57</v>
      </c>
      <c r="D44" t="s">
        <v>246</v>
      </c>
      <c r="E44" t="s">
        <v>50</v>
      </c>
      <c r="F44" t="s">
        <v>25</v>
      </c>
      <c r="H44">
        <v>4</v>
      </c>
      <c r="I44" t="s">
        <v>24</v>
      </c>
      <c r="J44" s="3">
        <v>15</v>
      </c>
      <c r="K44" s="3"/>
      <c r="L44" s="3">
        <f t="shared" si="5"/>
        <v>1.5</v>
      </c>
      <c r="M44">
        <v>1</v>
      </c>
      <c r="N44" s="4">
        <f t="shared" si="3"/>
        <v>16.5</v>
      </c>
      <c r="O44" s="4"/>
    </row>
    <row r="45" spans="1:15" x14ac:dyDescent="0.2">
      <c r="A45">
        <f t="shared" si="4"/>
        <v>109</v>
      </c>
      <c r="B45" t="s">
        <v>418</v>
      </c>
      <c r="C45" s="29" t="s">
        <v>252</v>
      </c>
      <c r="D45" s="29" t="s">
        <v>255</v>
      </c>
      <c r="E45" t="s">
        <v>27</v>
      </c>
      <c r="F45" t="s">
        <v>193</v>
      </c>
      <c r="G45" s="60" t="s">
        <v>249</v>
      </c>
      <c r="H45">
        <v>4</v>
      </c>
      <c r="I45" t="s">
        <v>24</v>
      </c>
      <c r="J45" s="3">
        <v>38</v>
      </c>
      <c r="K45" s="3"/>
      <c r="L45" s="3">
        <f t="shared" si="5"/>
        <v>3.8000000000000003</v>
      </c>
      <c r="M45">
        <v>1</v>
      </c>
      <c r="N45" s="4">
        <f t="shared" si="3"/>
        <v>41.8</v>
      </c>
      <c r="O45" s="4"/>
    </row>
    <row r="46" spans="1:15" x14ac:dyDescent="0.2">
      <c r="A46">
        <f t="shared" si="4"/>
        <v>110</v>
      </c>
      <c r="B46" t="s">
        <v>418</v>
      </c>
      <c r="C46" s="29" t="s">
        <v>253</v>
      </c>
      <c r="D46" s="29" t="s">
        <v>254</v>
      </c>
      <c r="E46" t="s">
        <v>27</v>
      </c>
      <c r="F46" t="s">
        <v>193</v>
      </c>
      <c r="G46" s="67" t="s">
        <v>257</v>
      </c>
      <c r="H46">
        <v>4</v>
      </c>
      <c r="I46" t="s">
        <v>24</v>
      </c>
      <c r="J46" s="3">
        <v>3</v>
      </c>
      <c r="K46" s="3"/>
      <c r="L46" s="3">
        <f t="shared" si="5"/>
        <v>0.30000000000000004</v>
      </c>
      <c r="M46">
        <v>1</v>
      </c>
      <c r="N46" s="4">
        <f t="shared" si="3"/>
        <v>3.3</v>
      </c>
      <c r="O46" s="4"/>
    </row>
    <row r="47" spans="1:15" x14ac:dyDescent="0.2">
      <c r="A47">
        <f t="shared" si="4"/>
        <v>111</v>
      </c>
      <c r="B47" t="s">
        <v>418</v>
      </c>
      <c r="C47" s="29" t="s">
        <v>361</v>
      </c>
      <c r="D47" s="29" t="s">
        <v>362</v>
      </c>
      <c r="E47" t="s">
        <v>50</v>
      </c>
      <c r="F47" s="29" t="s">
        <v>199</v>
      </c>
      <c r="G47" s="21" t="s">
        <v>363</v>
      </c>
      <c r="H47">
        <v>1</v>
      </c>
      <c r="I47" t="s">
        <v>24</v>
      </c>
      <c r="J47" s="3"/>
      <c r="K47" s="3">
        <v>0.1</v>
      </c>
      <c r="L47" s="3">
        <f>(K47+J47)*0.1</f>
        <v>1.0000000000000002E-2</v>
      </c>
      <c r="M47">
        <v>4</v>
      </c>
      <c r="N47" s="4">
        <f t="shared" ref="N47:N52" si="6">M47*(L47+K47*$K$34+J47)</f>
        <v>0.59599999999999997</v>
      </c>
      <c r="O47" s="4"/>
    </row>
    <row r="48" spans="1:15" x14ac:dyDescent="0.2">
      <c r="A48">
        <f t="shared" si="4"/>
        <v>112</v>
      </c>
      <c r="B48" t="s">
        <v>418</v>
      </c>
      <c r="C48" s="29" t="s">
        <v>368</v>
      </c>
      <c r="D48" s="29" t="s">
        <v>369</v>
      </c>
      <c r="E48" t="s">
        <v>50</v>
      </c>
      <c r="F48" s="29" t="s">
        <v>199</v>
      </c>
      <c r="G48" s="139" t="s">
        <v>458</v>
      </c>
      <c r="H48">
        <v>1</v>
      </c>
      <c r="I48" t="s">
        <v>24</v>
      </c>
      <c r="J48" s="3"/>
      <c r="K48" s="3">
        <v>3.24</v>
      </c>
      <c r="L48" s="3">
        <f>(K48+J48)*0.1</f>
        <v>0.32400000000000007</v>
      </c>
      <c r="M48">
        <v>1</v>
      </c>
      <c r="N48" s="4">
        <f t="shared" si="6"/>
        <v>4.8275999999999994</v>
      </c>
      <c r="O48" s="4"/>
    </row>
    <row r="49" spans="1:15" x14ac:dyDescent="0.2">
      <c r="A49">
        <f t="shared" si="4"/>
        <v>113</v>
      </c>
      <c r="B49" t="s">
        <v>418</v>
      </c>
      <c r="C49" s="29" t="s">
        <v>349</v>
      </c>
      <c r="D49" s="29" t="s">
        <v>348</v>
      </c>
      <c r="E49" t="s">
        <v>29</v>
      </c>
      <c r="F49" s="29" t="s">
        <v>273</v>
      </c>
      <c r="G49" s="60" t="s">
        <v>350</v>
      </c>
      <c r="H49">
        <v>1</v>
      </c>
      <c r="I49" t="s">
        <v>24</v>
      </c>
      <c r="J49" s="3">
        <v>0</v>
      </c>
      <c r="K49" s="3"/>
      <c r="L49" s="3">
        <f>(K49+J49)*0.1</f>
        <v>0</v>
      </c>
      <c r="M49">
        <v>2</v>
      </c>
      <c r="N49" s="4">
        <f t="shared" si="6"/>
        <v>0</v>
      </c>
      <c r="O49" s="4"/>
    </row>
    <row r="50" spans="1:15" x14ac:dyDescent="0.2">
      <c r="A50">
        <f t="shared" si="4"/>
        <v>114</v>
      </c>
      <c r="B50" t="s">
        <v>418</v>
      </c>
      <c r="C50" t="s">
        <v>33</v>
      </c>
      <c r="D50" t="s">
        <v>33</v>
      </c>
      <c r="E50" t="s">
        <v>30</v>
      </c>
      <c r="F50" t="s">
        <v>31</v>
      </c>
      <c r="H50">
        <v>2</v>
      </c>
      <c r="I50" t="s">
        <v>28</v>
      </c>
      <c r="J50" s="3">
        <v>3</v>
      </c>
      <c r="K50" s="3"/>
      <c r="L50" s="3">
        <f>(K50+J50)*0.1</f>
        <v>0.30000000000000004</v>
      </c>
      <c r="M50">
        <v>1</v>
      </c>
      <c r="N50" s="4">
        <f t="shared" si="6"/>
        <v>3.3</v>
      </c>
      <c r="O50" s="4"/>
    </row>
    <row r="51" spans="1:15" x14ac:dyDescent="0.2">
      <c r="A51">
        <v>197</v>
      </c>
      <c r="B51" t="s">
        <v>418</v>
      </c>
      <c r="C51" s="6" t="s">
        <v>42</v>
      </c>
      <c r="F51" t="s">
        <v>181</v>
      </c>
      <c r="H51">
        <v>2</v>
      </c>
      <c r="I51" t="s">
        <v>28</v>
      </c>
      <c r="J51" s="3"/>
      <c r="K51" s="3"/>
      <c r="L51" s="3">
        <v>0</v>
      </c>
      <c r="M51">
        <v>1</v>
      </c>
      <c r="N51" s="4">
        <f t="shared" si="6"/>
        <v>0</v>
      </c>
      <c r="O51" s="4"/>
    </row>
    <row r="52" spans="1:15" x14ac:dyDescent="0.2">
      <c r="A52">
        <v>198</v>
      </c>
      <c r="B52" t="s">
        <v>418</v>
      </c>
      <c r="C52" s="2" t="s">
        <v>43</v>
      </c>
      <c r="D52" s="9"/>
      <c r="E52" s="9"/>
      <c r="F52" s="9"/>
      <c r="G52" s="49"/>
      <c r="H52" s="9">
        <v>2</v>
      </c>
      <c r="I52" s="9" t="s">
        <v>28</v>
      </c>
      <c r="J52" s="11"/>
      <c r="K52" s="11"/>
      <c r="L52" s="11">
        <v>0</v>
      </c>
      <c r="M52" s="9">
        <v>1</v>
      </c>
      <c r="N52" s="12">
        <f t="shared" si="6"/>
        <v>0</v>
      </c>
      <c r="O52" s="4"/>
    </row>
    <row r="53" spans="1:15" x14ac:dyDescent="0.2">
      <c r="A53">
        <v>199</v>
      </c>
      <c r="B53" t="s">
        <v>418</v>
      </c>
      <c r="C53" s="6" t="s">
        <v>219</v>
      </c>
      <c r="J53" s="7"/>
      <c r="K53" s="3"/>
      <c r="L53" s="7">
        <f>SUM(L36:L52)</f>
        <v>72.453999999999994</v>
      </c>
      <c r="N53" s="4">
        <f>SUM(N36:N52)</f>
        <v>791.79409999999973</v>
      </c>
      <c r="O53" s="7"/>
    </row>
    <row r="54" spans="1:15" x14ac:dyDescent="0.2">
      <c r="B54" s="9"/>
      <c r="C54" s="32" t="s">
        <v>317</v>
      </c>
      <c r="D54" s="9"/>
      <c r="E54" s="9"/>
      <c r="F54" s="9"/>
      <c r="G54" s="49"/>
      <c r="H54" s="9"/>
      <c r="I54" s="9"/>
      <c r="J54" s="11"/>
      <c r="K54" s="11"/>
      <c r="L54" s="11"/>
      <c r="M54" s="9"/>
      <c r="N54" s="12"/>
      <c r="O54" s="7"/>
    </row>
    <row r="55" spans="1:15" x14ac:dyDescent="0.2">
      <c r="C55" s="6" t="s">
        <v>218</v>
      </c>
      <c r="J55" s="3"/>
      <c r="K55" s="3"/>
      <c r="L55" s="3"/>
      <c r="N55" s="7">
        <f>N54+N53</f>
        <v>791.79409999999973</v>
      </c>
      <c r="O55" s="7"/>
    </row>
    <row r="56" spans="1:15" ht="15.75" x14ac:dyDescent="0.25">
      <c r="B56" s="9"/>
      <c r="C56" s="9" t="s">
        <v>45</v>
      </c>
      <c r="D56" s="9"/>
      <c r="E56" s="9"/>
      <c r="F56" s="9"/>
      <c r="G56" s="49"/>
      <c r="H56" s="9"/>
      <c r="I56" s="9"/>
      <c r="J56" s="11"/>
      <c r="K56" s="11"/>
      <c r="L56" s="82" t="s">
        <v>220</v>
      </c>
      <c r="M56" s="12"/>
      <c r="N56" s="77">
        <v>1675</v>
      </c>
      <c r="O56" s="13"/>
    </row>
    <row r="57" spans="1:15" x14ac:dyDescent="0.2">
      <c r="C57" s="6"/>
      <c r="J57" s="46"/>
      <c r="K57" s="46"/>
      <c r="L57" s="46"/>
      <c r="N57" s="4"/>
      <c r="O57" s="4"/>
    </row>
    <row r="58" spans="1:15" ht="20.25" x14ac:dyDescent="0.3">
      <c r="A58" s="1" t="s">
        <v>605</v>
      </c>
      <c r="C58" s="6"/>
      <c r="G58" s="21">
        <f>0.375-0.065-0.065</f>
        <v>0.245</v>
      </c>
      <c r="J58" s="46"/>
      <c r="K58" s="46"/>
      <c r="L58" s="46"/>
      <c r="N58" s="4"/>
      <c r="O58" s="4"/>
    </row>
    <row r="59" spans="1:15" x14ac:dyDescent="0.2">
      <c r="A59" s="2" t="s">
        <v>4</v>
      </c>
      <c r="B59" s="2" t="s">
        <v>5</v>
      </c>
      <c r="C59" s="2" t="s">
        <v>6</v>
      </c>
      <c r="D59" s="2" t="s">
        <v>7</v>
      </c>
      <c r="E59" s="2" t="s">
        <v>8</v>
      </c>
      <c r="F59" s="2" t="s">
        <v>9</v>
      </c>
      <c r="G59" s="63" t="s">
        <v>10</v>
      </c>
      <c r="H59" s="2" t="s">
        <v>11</v>
      </c>
      <c r="I59" s="2" t="s">
        <v>12</v>
      </c>
      <c r="J59" s="2" t="s">
        <v>13</v>
      </c>
      <c r="K59" s="2" t="s">
        <v>14</v>
      </c>
      <c r="L59" s="2" t="s">
        <v>15</v>
      </c>
      <c r="M59" s="2" t="s">
        <v>16</v>
      </c>
      <c r="N59" s="2" t="s">
        <v>17</v>
      </c>
      <c r="O59" s="2"/>
    </row>
    <row r="60" spans="1:15" x14ac:dyDescent="0.2">
      <c r="A60">
        <v>200</v>
      </c>
      <c r="B60" t="s">
        <v>74</v>
      </c>
      <c r="C60" s="29" t="s">
        <v>373</v>
      </c>
      <c r="D60" t="s">
        <v>206</v>
      </c>
      <c r="E60" s="29" t="s">
        <v>381</v>
      </c>
      <c r="F60" t="s">
        <v>820</v>
      </c>
      <c r="G60" s="21" t="s">
        <v>34</v>
      </c>
      <c r="H60">
        <v>4</v>
      </c>
      <c r="I60" t="s">
        <v>24</v>
      </c>
      <c r="J60" s="3">
        <f>1090*1.15</f>
        <v>1253.5</v>
      </c>
      <c r="K60" s="3">
        <v>0</v>
      </c>
      <c r="L60" s="3">
        <f t="shared" ref="L60:L68" si="7">(K60+J60)*0.1</f>
        <v>125.35000000000001</v>
      </c>
      <c r="M60">
        <v>1</v>
      </c>
      <c r="N60" s="4">
        <f t="shared" ref="N60:N68" si="8">M60*(L60+K60*$K$34+J60)</f>
        <v>1378.85</v>
      </c>
      <c r="O60" s="4"/>
    </row>
    <row r="61" spans="1:15" x14ac:dyDescent="0.2">
      <c r="A61">
        <f t="shared" ref="A61:A68" si="9">A60+1</f>
        <v>201</v>
      </c>
      <c r="B61" t="s">
        <v>74</v>
      </c>
      <c r="C61" s="29" t="s">
        <v>374</v>
      </c>
      <c r="D61" s="29" t="s">
        <v>241</v>
      </c>
      <c r="E61" s="29" t="s">
        <v>381</v>
      </c>
      <c r="F61" t="s">
        <v>193</v>
      </c>
      <c r="G61" s="66" t="s">
        <v>250</v>
      </c>
      <c r="H61">
        <v>4</v>
      </c>
      <c r="I61" t="s">
        <v>24</v>
      </c>
      <c r="J61" s="3">
        <v>38</v>
      </c>
      <c r="K61" s="3"/>
      <c r="L61" s="3">
        <f t="shared" si="7"/>
        <v>3.8000000000000003</v>
      </c>
      <c r="M61">
        <v>1</v>
      </c>
      <c r="N61" s="4">
        <f t="shared" si="8"/>
        <v>41.8</v>
      </c>
      <c r="O61" s="4"/>
    </row>
    <row r="62" spans="1:15" x14ac:dyDescent="0.2">
      <c r="A62">
        <f t="shared" si="9"/>
        <v>202</v>
      </c>
      <c r="B62" t="s">
        <v>74</v>
      </c>
      <c r="C62" s="29" t="s">
        <v>375</v>
      </c>
      <c r="D62" s="29" t="s">
        <v>377</v>
      </c>
      <c r="E62" s="29" t="s">
        <v>381</v>
      </c>
      <c r="F62" s="29" t="s">
        <v>199</v>
      </c>
      <c r="G62" s="66" t="s">
        <v>376</v>
      </c>
      <c r="H62">
        <v>4</v>
      </c>
      <c r="I62" t="s">
        <v>24</v>
      </c>
      <c r="J62" s="3">
        <v>5</v>
      </c>
      <c r="K62" s="3"/>
      <c r="L62" s="3">
        <f t="shared" ref="L62" si="10">(K62+J62)*0.1</f>
        <v>0.5</v>
      </c>
      <c r="M62">
        <v>1</v>
      </c>
      <c r="N62" s="4">
        <f t="shared" si="8"/>
        <v>5.5</v>
      </c>
      <c r="O62" s="4"/>
    </row>
    <row r="63" spans="1:15" x14ac:dyDescent="0.2">
      <c r="A63">
        <f t="shared" si="9"/>
        <v>203</v>
      </c>
      <c r="B63" t="s">
        <v>74</v>
      </c>
      <c r="C63" t="s">
        <v>35</v>
      </c>
      <c r="D63" s="29" t="s">
        <v>372</v>
      </c>
      <c r="E63" s="29" t="s">
        <v>382</v>
      </c>
      <c r="F63" t="s">
        <v>808</v>
      </c>
      <c r="G63" s="21" t="s">
        <v>37</v>
      </c>
      <c r="H63">
        <v>4</v>
      </c>
      <c r="I63" t="s">
        <v>24</v>
      </c>
      <c r="J63" s="3">
        <v>99</v>
      </c>
      <c r="K63" s="3"/>
      <c r="L63" s="3">
        <f t="shared" si="7"/>
        <v>9.9</v>
      </c>
      <c r="M63">
        <v>1</v>
      </c>
      <c r="N63" s="4">
        <f t="shared" si="8"/>
        <v>108.9</v>
      </c>
      <c r="O63" s="4"/>
    </row>
    <row r="64" spans="1:15" x14ac:dyDescent="0.2">
      <c r="A64">
        <f t="shared" si="9"/>
        <v>204</v>
      </c>
      <c r="B64" t="s">
        <v>74</v>
      </c>
      <c r="C64" t="s">
        <v>38</v>
      </c>
      <c r="D64" s="29" t="s">
        <v>371</v>
      </c>
      <c r="E64" s="29" t="s">
        <v>382</v>
      </c>
      <c r="F64" s="9" t="s">
        <v>195</v>
      </c>
      <c r="G64" s="21" t="s">
        <v>799</v>
      </c>
      <c r="H64">
        <v>2</v>
      </c>
      <c r="I64" t="s">
        <v>28</v>
      </c>
      <c r="J64" s="3">
        <v>100</v>
      </c>
      <c r="K64" s="3"/>
      <c r="L64" s="3">
        <f t="shared" si="7"/>
        <v>10</v>
      </c>
      <c r="M64">
        <v>1</v>
      </c>
      <c r="N64" s="4">
        <f t="shared" si="8"/>
        <v>110</v>
      </c>
      <c r="O64" s="4"/>
    </row>
    <row r="65" spans="1:15" x14ac:dyDescent="0.2">
      <c r="A65">
        <f t="shared" si="9"/>
        <v>205</v>
      </c>
      <c r="B65" t="s">
        <v>74</v>
      </c>
      <c r="C65" t="s">
        <v>130</v>
      </c>
      <c r="D65" s="48" t="s">
        <v>800</v>
      </c>
      <c r="E65" s="29" t="s">
        <v>382</v>
      </c>
      <c r="F65" t="s">
        <v>194</v>
      </c>
      <c r="H65">
        <v>2</v>
      </c>
      <c r="I65" t="s">
        <v>28</v>
      </c>
      <c r="J65" s="3">
        <v>15</v>
      </c>
      <c r="K65" s="3"/>
      <c r="L65" s="3">
        <f t="shared" si="7"/>
        <v>1.5</v>
      </c>
      <c r="M65">
        <v>1</v>
      </c>
      <c r="N65" s="4">
        <f t="shared" si="8"/>
        <v>16.5</v>
      </c>
      <c r="O65" s="4"/>
    </row>
    <row r="66" spans="1:15" x14ac:dyDescent="0.2">
      <c r="A66">
        <f t="shared" si="9"/>
        <v>206</v>
      </c>
      <c r="B66" t="s">
        <v>74</v>
      </c>
      <c r="C66" t="s">
        <v>40</v>
      </c>
      <c r="D66" t="s">
        <v>40</v>
      </c>
      <c r="E66" s="29" t="s">
        <v>382</v>
      </c>
      <c r="F66" t="s">
        <v>194</v>
      </c>
      <c r="G66" s="21">
        <v>102558</v>
      </c>
      <c r="H66">
        <v>3</v>
      </c>
      <c r="I66" t="s">
        <v>24</v>
      </c>
      <c r="J66" s="3">
        <v>4.1500000000000004</v>
      </c>
      <c r="L66" s="3">
        <f>(K66+J66)*0.1</f>
        <v>0.41500000000000004</v>
      </c>
      <c r="M66">
        <v>1</v>
      </c>
      <c r="N66" s="4">
        <f t="shared" si="8"/>
        <v>4.5650000000000004</v>
      </c>
      <c r="O66" s="4"/>
    </row>
    <row r="67" spans="1:15" x14ac:dyDescent="0.2">
      <c r="A67">
        <f t="shared" si="9"/>
        <v>207</v>
      </c>
      <c r="B67" t="s">
        <v>74</v>
      </c>
      <c r="C67" s="29" t="s">
        <v>379</v>
      </c>
      <c r="D67" s="29" t="s">
        <v>378</v>
      </c>
      <c r="E67" s="29" t="s">
        <v>382</v>
      </c>
      <c r="F67" t="s">
        <v>195</v>
      </c>
      <c r="H67">
        <v>3</v>
      </c>
      <c r="I67" t="s">
        <v>24</v>
      </c>
      <c r="J67" s="46">
        <v>80</v>
      </c>
      <c r="K67" s="46">
        <v>0</v>
      </c>
      <c r="L67" s="46">
        <f>(K67+J67)*0.1</f>
        <v>8</v>
      </c>
      <c r="M67">
        <v>1</v>
      </c>
      <c r="N67" s="4">
        <f t="shared" si="8"/>
        <v>88</v>
      </c>
      <c r="O67" s="4"/>
    </row>
    <row r="68" spans="1:15" x14ac:dyDescent="0.2">
      <c r="A68">
        <f t="shared" si="9"/>
        <v>208</v>
      </c>
      <c r="B68" s="9" t="s">
        <v>74</v>
      </c>
      <c r="C68" s="9" t="s">
        <v>207</v>
      </c>
      <c r="D68" s="29" t="s">
        <v>380</v>
      </c>
      <c r="E68" s="41" t="s">
        <v>381</v>
      </c>
      <c r="F68" s="9" t="s">
        <v>62</v>
      </c>
      <c r="G68" s="49"/>
      <c r="H68" s="9">
        <v>3</v>
      </c>
      <c r="I68" s="9" t="s">
        <v>24</v>
      </c>
      <c r="J68" s="11">
        <v>25</v>
      </c>
      <c r="K68" s="11">
        <v>0</v>
      </c>
      <c r="L68" s="11">
        <f t="shared" si="7"/>
        <v>2.5</v>
      </c>
      <c r="M68" s="9">
        <v>1</v>
      </c>
      <c r="N68" s="12">
        <f t="shared" si="8"/>
        <v>27.5</v>
      </c>
      <c r="O68" s="4"/>
    </row>
    <row r="69" spans="1:15" x14ac:dyDescent="0.2">
      <c r="A69">
        <v>299</v>
      </c>
      <c r="B69" t="s">
        <v>74</v>
      </c>
      <c r="C69" s="6" t="s">
        <v>185</v>
      </c>
      <c r="J69" s="7"/>
      <c r="K69" s="3"/>
      <c r="L69" s="7">
        <f>SUM(L60:L68)</f>
        <v>161.965</v>
      </c>
      <c r="N69" s="14">
        <f>SUM(N60:N68)</f>
        <v>1781.615</v>
      </c>
      <c r="O69" s="7"/>
    </row>
    <row r="70" spans="1:15" x14ac:dyDescent="0.2">
      <c r="C70" s="6"/>
      <c r="J70" s="7"/>
      <c r="K70" s="3"/>
      <c r="L70" s="7"/>
      <c r="N70" s="7"/>
      <c r="O70" s="7"/>
    </row>
    <row r="71" spans="1:15" x14ac:dyDescent="0.2">
      <c r="C71" s="6"/>
      <c r="J71" s="7"/>
      <c r="K71" s="3"/>
      <c r="L71" s="7"/>
      <c r="N71" s="7"/>
      <c r="O71" s="7"/>
    </row>
    <row r="72" spans="1:15" ht="15.75" x14ac:dyDescent="0.25">
      <c r="A72" s="72"/>
      <c r="B72" s="72"/>
      <c r="C72" s="73" t="s">
        <v>318</v>
      </c>
      <c r="D72" s="72"/>
      <c r="E72" s="72"/>
      <c r="F72" s="72"/>
      <c r="G72" s="74"/>
      <c r="H72" s="72"/>
      <c r="I72" s="72"/>
      <c r="J72" s="75"/>
      <c r="K72" s="76"/>
      <c r="L72" s="75"/>
      <c r="M72" s="72"/>
      <c r="N72" s="75">
        <f>N29+N69</f>
        <v>2383.1360999999997</v>
      </c>
      <c r="O72" s="7"/>
    </row>
    <row r="73" spans="1:15" ht="15.75" x14ac:dyDescent="0.25">
      <c r="A73" s="9"/>
      <c r="B73" s="9"/>
      <c r="C73" s="9" t="s">
        <v>45</v>
      </c>
      <c r="D73" s="9"/>
      <c r="E73" s="9"/>
      <c r="F73" s="9"/>
      <c r="G73" s="49"/>
      <c r="H73" s="9"/>
      <c r="I73" s="9"/>
      <c r="J73" s="11"/>
      <c r="K73" s="11"/>
      <c r="L73" s="82" t="s">
        <v>319</v>
      </c>
      <c r="M73" s="12"/>
      <c r="N73" s="77">
        <v>2990</v>
      </c>
      <c r="O73" s="13"/>
    </row>
    <row r="74" spans="1:15" x14ac:dyDescent="0.2">
      <c r="C74" s="6"/>
      <c r="J74" s="3"/>
      <c r="K74" s="3"/>
      <c r="L74" s="3"/>
      <c r="N74" s="7"/>
      <c r="O74" s="4"/>
    </row>
    <row r="75" spans="1:15" ht="20.25" x14ac:dyDescent="0.3">
      <c r="A75" s="1" t="s">
        <v>783</v>
      </c>
      <c r="B75" s="1"/>
    </row>
    <row r="77" spans="1:15" x14ac:dyDescent="0.2">
      <c r="A77" s="2" t="s">
        <v>4</v>
      </c>
      <c r="B77" s="2" t="s">
        <v>5</v>
      </c>
      <c r="C77" s="2" t="s">
        <v>6</v>
      </c>
      <c r="D77" s="2" t="s">
        <v>7</v>
      </c>
      <c r="E77" s="2" t="s">
        <v>8</v>
      </c>
      <c r="F77" s="2" t="s">
        <v>9</v>
      </c>
      <c r="G77" s="63" t="s">
        <v>10</v>
      </c>
      <c r="H77" s="2" t="s">
        <v>11</v>
      </c>
      <c r="I77" s="2" t="s">
        <v>12</v>
      </c>
      <c r="J77" s="2" t="s">
        <v>13</v>
      </c>
      <c r="K77" s="2" t="s">
        <v>14</v>
      </c>
      <c r="L77" s="2" t="s">
        <v>15</v>
      </c>
      <c r="M77" s="2" t="s">
        <v>16</v>
      </c>
      <c r="N77" s="2" t="s">
        <v>17</v>
      </c>
      <c r="O77" s="2"/>
    </row>
    <row r="78" spans="1:15" x14ac:dyDescent="0.2">
      <c r="A78">
        <v>200</v>
      </c>
      <c r="B78" t="s">
        <v>48</v>
      </c>
      <c r="C78" t="s">
        <v>49</v>
      </c>
      <c r="D78" t="s">
        <v>22</v>
      </c>
      <c r="E78" t="s">
        <v>50</v>
      </c>
      <c r="F78" t="s">
        <v>181</v>
      </c>
      <c r="H78">
        <v>3</v>
      </c>
      <c r="I78" t="s">
        <v>24</v>
      </c>
      <c r="J78" s="3">
        <v>135</v>
      </c>
      <c r="K78" s="3"/>
      <c r="L78" s="3">
        <f t="shared" ref="L78:L104" si="11">(K78+J78)*0.1</f>
        <v>13.5</v>
      </c>
      <c r="M78">
        <v>1</v>
      </c>
      <c r="N78" s="4">
        <f t="shared" ref="N78:N104" si="12">M78*(L78+K78*$K$34+J78)</f>
        <v>148.5</v>
      </c>
      <c r="O78" s="4"/>
    </row>
    <row r="79" spans="1:15" x14ac:dyDescent="0.2">
      <c r="A79">
        <f>A78+1</f>
        <v>201</v>
      </c>
      <c r="B79" t="s">
        <v>48</v>
      </c>
      <c r="C79" t="s">
        <v>52</v>
      </c>
      <c r="D79" t="s">
        <v>781</v>
      </c>
      <c r="E79" t="s">
        <v>53</v>
      </c>
      <c r="F79" t="s">
        <v>181</v>
      </c>
      <c r="G79" s="139"/>
      <c r="H79">
        <v>2</v>
      </c>
      <c r="I79" t="s">
        <v>24</v>
      </c>
      <c r="J79" s="3">
        <v>75</v>
      </c>
      <c r="K79" s="3"/>
      <c r="L79" s="3"/>
      <c r="M79">
        <v>1</v>
      </c>
      <c r="N79" s="4">
        <f t="shared" si="12"/>
        <v>75</v>
      </c>
      <c r="O79" s="4"/>
    </row>
    <row r="80" spans="1:15" ht="25.5" customHeight="1" x14ac:dyDescent="0.2">
      <c r="A80">
        <f t="shared" ref="A80:A104" si="13">A79+1</f>
        <v>202</v>
      </c>
      <c r="B80" t="s">
        <v>48</v>
      </c>
      <c r="C80" s="48" t="s">
        <v>467</v>
      </c>
      <c r="D80" t="s">
        <v>809</v>
      </c>
      <c r="E80" t="s">
        <v>50</v>
      </c>
      <c r="F80" s="217" t="s">
        <v>810</v>
      </c>
      <c r="G80" s="139" t="s">
        <v>469</v>
      </c>
      <c r="H80">
        <v>10</v>
      </c>
      <c r="I80" t="s">
        <v>24</v>
      </c>
      <c r="J80" s="3">
        <v>35</v>
      </c>
      <c r="K80" s="3"/>
      <c r="L80" s="3">
        <f t="shared" si="11"/>
        <v>3.5</v>
      </c>
      <c r="M80">
        <v>1</v>
      </c>
      <c r="N80" s="4">
        <f t="shared" si="12"/>
        <v>38.5</v>
      </c>
      <c r="O80" s="4"/>
    </row>
    <row r="81" spans="1:15" x14ac:dyDescent="0.2">
      <c r="A81">
        <f t="shared" si="13"/>
        <v>203</v>
      </c>
      <c r="B81" t="s">
        <v>48</v>
      </c>
      <c r="C81" t="s">
        <v>57</v>
      </c>
      <c r="D81" t="s">
        <v>246</v>
      </c>
      <c r="E81" t="s">
        <v>50</v>
      </c>
      <c r="F81" t="s">
        <v>25</v>
      </c>
      <c r="H81">
        <v>4</v>
      </c>
      <c r="I81" t="s">
        <v>24</v>
      </c>
      <c r="J81" s="3">
        <v>15</v>
      </c>
      <c r="K81" s="3"/>
      <c r="L81" s="3">
        <f t="shared" si="11"/>
        <v>1.5</v>
      </c>
      <c r="M81">
        <v>1</v>
      </c>
      <c r="N81" s="4">
        <f t="shared" si="12"/>
        <v>16.5</v>
      </c>
      <c r="O81" s="4"/>
    </row>
    <row r="82" spans="1:15" x14ac:dyDescent="0.2">
      <c r="A82">
        <f t="shared" si="13"/>
        <v>204</v>
      </c>
      <c r="B82" t="s">
        <v>48</v>
      </c>
      <c r="C82" s="29" t="s">
        <v>368</v>
      </c>
      <c r="D82" s="104" t="s">
        <v>484</v>
      </c>
      <c r="E82" s="48" t="s">
        <v>445</v>
      </c>
      <c r="F82" s="48" t="s">
        <v>482</v>
      </c>
      <c r="G82" s="140" t="s">
        <v>485</v>
      </c>
      <c r="H82">
        <v>1</v>
      </c>
      <c r="I82" t="s">
        <v>24</v>
      </c>
      <c r="J82" s="3"/>
      <c r="K82" s="3">
        <v>3.24</v>
      </c>
      <c r="L82" s="3">
        <f>(K82+J82)*0.1</f>
        <v>0.32400000000000007</v>
      </c>
      <c r="M82">
        <v>1</v>
      </c>
      <c r="N82" s="4">
        <f t="shared" si="12"/>
        <v>4.8275999999999994</v>
      </c>
      <c r="O82" s="4"/>
    </row>
    <row r="83" spans="1:15" x14ac:dyDescent="0.2">
      <c r="A83">
        <f t="shared" si="13"/>
        <v>205</v>
      </c>
      <c r="B83" t="s">
        <v>21</v>
      </c>
      <c r="C83" s="29" t="s">
        <v>252</v>
      </c>
      <c r="D83" s="29" t="s">
        <v>255</v>
      </c>
      <c r="E83" s="29" t="s">
        <v>57</v>
      </c>
      <c r="F83" t="s">
        <v>193</v>
      </c>
      <c r="G83" s="60" t="s">
        <v>249</v>
      </c>
      <c r="H83">
        <v>4</v>
      </c>
      <c r="I83" t="s">
        <v>24</v>
      </c>
      <c r="J83" s="3">
        <v>32</v>
      </c>
      <c r="K83" s="3"/>
      <c r="L83" s="3">
        <f t="shared" si="11"/>
        <v>3.2</v>
      </c>
      <c r="M83">
        <v>1</v>
      </c>
      <c r="N83" s="4">
        <f t="shared" si="12"/>
        <v>35.200000000000003</v>
      </c>
      <c r="O83" s="4"/>
    </row>
    <row r="84" spans="1:15" x14ac:dyDescent="0.2">
      <c r="A84">
        <f t="shared" si="13"/>
        <v>206</v>
      </c>
      <c r="B84" t="s">
        <v>48</v>
      </c>
      <c r="C84" t="s">
        <v>58</v>
      </c>
      <c r="D84" t="s">
        <v>790</v>
      </c>
      <c r="E84" t="s">
        <v>50</v>
      </c>
      <c r="F84" t="s">
        <v>791</v>
      </c>
      <c r="G84" s="68" t="s">
        <v>792</v>
      </c>
      <c r="H84">
        <v>3</v>
      </c>
      <c r="I84" t="s">
        <v>24</v>
      </c>
      <c r="J84" s="3"/>
      <c r="K84" s="3">
        <v>225</v>
      </c>
      <c r="L84" s="3">
        <f t="shared" si="11"/>
        <v>22.5</v>
      </c>
      <c r="M84">
        <v>1</v>
      </c>
      <c r="N84" s="4">
        <f t="shared" si="12"/>
        <v>335.25</v>
      </c>
      <c r="O84" s="4"/>
    </row>
    <row r="85" spans="1:15" x14ac:dyDescent="0.2">
      <c r="A85">
        <f t="shared" si="13"/>
        <v>207</v>
      </c>
      <c r="B85" t="s">
        <v>48</v>
      </c>
      <c r="C85" t="s">
        <v>60</v>
      </c>
      <c r="D85" t="s">
        <v>789</v>
      </c>
      <c r="E85" t="s">
        <v>61</v>
      </c>
      <c r="F85" t="s">
        <v>181</v>
      </c>
      <c r="H85">
        <v>4</v>
      </c>
      <c r="I85" t="s">
        <v>24</v>
      </c>
      <c r="J85" s="3">
        <v>25</v>
      </c>
      <c r="K85" s="3"/>
      <c r="L85" s="3"/>
      <c r="M85">
        <v>2</v>
      </c>
      <c r="N85" s="4">
        <f t="shared" si="12"/>
        <v>50</v>
      </c>
      <c r="O85" s="4"/>
    </row>
    <row r="86" spans="1:15" x14ac:dyDescent="0.2">
      <c r="A86">
        <f t="shared" si="13"/>
        <v>208</v>
      </c>
      <c r="B86" t="s">
        <v>48</v>
      </c>
      <c r="C86" t="s">
        <v>63</v>
      </c>
      <c r="D86" t="s">
        <v>782</v>
      </c>
      <c r="E86" t="s">
        <v>51</v>
      </c>
      <c r="F86" t="s">
        <v>181</v>
      </c>
      <c r="H86">
        <v>4</v>
      </c>
      <c r="I86" t="s">
        <v>24</v>
      </c>
      <c r="J86" s="3">
        <v>50</v>
      </c>
      <c r="K86" s="3"/>
      <c r="L86" s="3"/>
      <c r="M86">
        <v>2</v>
      </c>
      <c r="N86" s="4">
        <f t="shared" si="12"/>
        <v>100</v>
      </c>
      <c r="O86" s="4"/>
    </row>
    <row r="87" spans="1:15" x14ac:dyDescent="0.2">
      <c r="A87">
        <f t="shared" si="13"/>
        <v>209</v>
      </c>
      <c r="B87" t="s">
        <v>48</v>
      </c>
      <c r="C87" s="48" t="s">
        <v>395</v>
      </c>
      <c r="D87" s="48" t="s">
        <v>396</v>
      </c>
      <c r="E87" t="s">
        <v>50</v>
      </c>
      <c r="F87" t="s">
        <v>181</v>
      </c>
      <c r="G87" s="21" t="s">
        <v>192</v>
      </c>
      <c r="H87">
        <v>10</v>
      </c>
      <c r="I87" t="s">
        <v>28</v>
      </c>
      <c r="J87" s="4">
        <f>'PCB - BOM'!Q134</f>
        <v>44.341000000000001</v>
      </c>
      <c r="K87" s="3"/>
      <c r="L87" s="3"/>
      <c r="M87">
        <v>1</v>
      </c>
      <c r="N87" s="4">
        <f t="shared" si="12"/>
        <v>44.341000000000001</v>
      </c>
      <c r="O87" s="4"/>
    </row>
    <row r="88" spans="1:15" x14ac:dyDescent="0.2">
      <c r="A88">
        <f t="shared" si="13"/>
        <v>210</v>
      </c>
      <c r="B88" t="s">
        <v>48</v>
      </c>
      <c r="C88" t="s">
        <v>55</v>
      </c>
      <c r="D88" t="s">
        <v>56</v>
      </c>
      <c r="E88" t="s">
        <v>50</v>
      </c>
      <c r="F88" t="s">
        <v>25</v>
      </c>
      <c r="G88" s="21" t="s">
        <v>26</v>
      </c>
      <c r="H88">
        <v>1</v>
      </c>
      <c r="I88" t="s">
        <v>24</v>
      </c>
      <c r="J88" s="3">
        <v>2.59</v>
      </c>
      <c r="K88" s="3"/>
      <c r="L88" s="3">
        <f>(K88+J88)*0.1</f>
        <v>0.25900000000000001</v>
      </c>
      <c r="M88">
        <v>1</v>
      </c>
      <c r="N88" s="4">
        <f t="shared" si="12"/>
        <v>2.8489999999999998</v>
      </c>
      <c r="O88" s="4"/>
    </row>
    <row r="89" spans="1:15" x14ac:dyDescent="0.2">
      <c r="A89">
        <f t="shared" si="13"/>
        <v>211</v>
      </c>
      <c r="B89" t="s">
        <v>48</v>
      </c>
      <c r="C89" s="29" t="s">
        <v>344</v>
      </c>
      <c r="D89" t="s">
        <v>56</v>
      </c>
      <c r="E89" t="s">
        <v>50</v>
      </c>
      <c r="F89" t="s">
        <v>25</v>
      </c>
      <c r="H89">
        <v>1</v>
      </c>
      <c r="I89" t="s">
        <v>24</v>
      </c>
      <c r="J89" s="3">
        <v>1</v>
      </c>
      <c r="K89" s="3"/>
      <c r="L89" s="3">
        <f>(K89+J89)*0.1</f>
        <v>0.1</v>
      </c>
      <c r="M89">
        <v>1</v>
      </c>
      <c r="N89" s="4">
        <f t="shared" si="12"/>
        <v>1.1000000000000001</v>
      </c>
      <c r="O89" s="4"/>
    </row>
    <row r="90" spans="1:15" x14ac:dyDescent="0.2">
      <c r="A90">
        <f t="shared" si="13"/>
        <v>212</v>
      </c>
      <c r="B90" t="s">
        <v>48</v>
      </c>
      <c r="C90" t="s">
        <v>66</v>
      </c>
      <c r="D90" s="48" t="s">
        <v>489</v>
      </c>
      <c r="E90" s="48" t="s">
        <v>57</v>
      </c>
      <c r="F90" s="48" t="s">
        <v>482</v>
      </c>
      <c r="H90">
        <v>1</v>
      </c>
      <c r="I90" t="s">
        <v>24</v>
      </c>
      <c r="J90" s="3">
        <v>1</v>
      </c>
      <c r="K90" s="3"/>
      <c r="L90" s="3">
        <f t="shared" si="11"/>
        <v>0.1</v>
      </c>
      <c r="M90">
        <v>7</v>
      </c>
      <c r="N90" s="4">
        <f t="shared" si="12"/>
        <v>7.7000000000000011</v>
      </c>
      <c r="O90" s="4"/>
    </row>
    <row r="91" spans="1:15" x14ac:dyDescent="0.2">
      <c r="A91">
        <f t="shared" si="13"/>
        <v>213</v>
      </c>
      <c r="B91" t="s">
        <v>48</v>
      </c>
      <c r="C91" t="s">
        <v>67</v>
      </c>
      <c r="D91" t="s">
        <v>67</v>
      </c>
      <c r="E91" s="29" t="s">
        <v>383</v>
      </c>
      <c r="F91" t="s">
        <v>25</v>
      </c>
      <c r="H91">
        <v>1</v>
      </c>
      <c r="I91" t="s">
        <v>24</v>
      </c>
      <c r="J91" s="3">
        <v>0.2</v>
      </c>
      <c r="K91" s="3"/>
      <c r="L91" s="3">
        <f t="shared" si="11"/>
        <v>2.0000000000000004E-2</v>
      </c>
      <c r="M91">
        <v>2</v>
      </c>
      <c r="N91" s="4">
        <f t="shared" si="12"/>
        <v>0.44000000000000006</v>
      </c>
      <c r="O91" s="4"/>
    </row>
    <row r="92" spans="1:15" x14ac:dyDescent="0.2">
      <c r="A92">
        <f t="shared" si="13"/>
        <v>214</v>
      </c>
      <c r="B92" t="s">
        <v>48</v>
      </c>
      <c r="C92" t="s">
        <v>68</v>
      </c>
      <c r="D92" s="48" t="s">
        <v>491</v>
      </c>
      <c r="E92" t="s">
        <v>51</v>
      </c>
      <c r="F92" s="52" t="s">
        <v>468</v>
      </c>
      <c r="G92" s="139" t="s">
        <v>490</v>
      </c>
      <c r="H92">
        <v>3</v>
      </c>
      <c r="I92" t="s">
        <v>24</v>
      </c>
      <c r="J92" s="3">
        <v>35</v>
      </c>
      <c r="K92" s="3"/>
      <c r="L92" s="3">
        <f t="shared" si="11"/>
        <v>3.5</v>
      </c>
      <c r="M92">
        <v>2</v>
      </c>
      <c r="N92" s="4">
        <f t="shared" si="12"/>
        <v>77</v>
      </c>
      <c r="O92" s="4"/>
    </row>
    <row r="93" spans="1:15" x14ac:dyDescent="0.2">
      <c r="A93">
        <f t="shared" si="13"/>
        <v>215</v>
      </c>
      <c r="B93" t="s">
        <v>48</v>
      </c>
      <c r="C93" t="s">
        <v>334</v>
      </c>
      <c r="D93" t="s">
        <v>335</v>
      </c>
      <c r="E93" t="s">
        <v>51</v>
      </c>
      <c r="F93" t="s">
        <v>41</v>
      </c>
      <c r="H93">
        <v>1</v>
      </c>
      <c r="I93" t="s">
        <v>24</v>
      </c>
      <c r="J93" s="3">
        <v>0.75</v>
      </c>
      <c r="K93" s="3"/>
      <c r="L93" s="3">
        <f>(K93+J93)*0.1</f>
        <v>7.5000000000000011E-2</v>
      </c>
      <c r="M93">
        <v>4</v>
      </c>
      <c r="N93" s="4">
        <f t="shared" si="12"/>
        <v>3.3</v>
      </c>
      <c r="O93" s="4"/>
    </row>
    <row r="94" spans="1:15" x14ac:dyDescent="0.2">
      <c r="A94">
        <f t="shared" si="13"/>
        <v>216</v>
      </c>
      <c r="B94" t="s">
        <v>48</v>
      </c>
      <c r="C94" t="s">
        <v>54</v>
      </c>
      <c r="D94" t="s">
        <v>822</v>
      </c>
      <c r="E94" t="s">
        <v>50</v>
      </c>
      <c r="F94" t="s">
        <v>823</v>
      </c>
      <c r="G94" s="105"/>
      <c r="H94">
        <v>1</v>
      </c>
      <c r="I94" t="s">
        <v>24</v>
      </c>
      <c r="J94" s="3">
        <v>0.5</v>
      </c>
      <c r="K94" s="3"/>
      <c r="L94" s="3">
        <f>(K94+J94)*0.1</f>
        <v>0.05</v>
      </c>
      <c r="M94">
        <v>4</v>
      </c>
      <c r="N94" s="4">
        <f t="shared" si="12"/>
        <v>2.2000000000000002</v>
      </c>
      <c r="O94" s="4"/>
    </row>
    <row r="95" spans="1:15" x14ac:dyDescent="0.2">
      <c r="A95">
        <f t="shared" si="13"/>
        <v>217</v>
      </c>
      <c r="B95" t="s">
        <v>48</v>
      </c>
      <c r="C95" t="s">
        <v>71</v>
      </c>
      <c r="D95" s="29" t="s">
        <v>345</v>
      </c>
      <c r="E95" t="s">
        <v>51</v>
      </c>
      <c r="F95" t="s">
        <v>823</v>
      </c>
      <c r="H95">
        <v>1</v>
      </c>
      <c r="I95" t="s">
        <v>24</v>
      </c>
      <c r="J95" s="3">
        <v>1.1000000000000001</v>
      </c>
      <c r="K95" s="3"/>
      <c r="L95" s="3">
        <f>(K95+J95)*0.1</f>
        <v>0.11000000000000001</v>
      </c>
      <c r="M95">
        <v>4</v>
      </c>
      <c r="N95" s="4">
        <f t="shared" si="12"/>
        <v>4.8400000000000007</v>
      </c>
      <c r="O95" s="4"/>
    </row>
    <row r="96" spans="1:15" x14ac:dyDescent="0.2">
      <c r="A96">
        <f t="shared" si="13"/>
        <v>218</v>
      </c>
      <c r="B96" t="s">
        <v>48</v>
      </c>
      <c r="C96" t="s">
        <v>69</v>
      </c>
      <c r="D96" s="29" t="s">
        <v>360</v>
      </c>
      <c r="E96" t="s">
        <v>51</v>
      </c>
      <c r="F96" t="s">
        <v>199</v>
      </c>
      <c r="G96" s="104" t="s">
        <v>359</v>
      </c>
      <c r="H96">
        <v>1</v>
      </c>
      <c r="I96" t="s">
        <v>24</v>
      </c>
      <c r="J96" s="3"/>
      <c r="K96" s="3">
        <v>8</v>
      </c>
      <c r="L96" s="3">
        <f t="shared" si="11"/>
        <v>0.8</v>
      </c>
      <c r="M96">
        <v>2</v>
      </c>
      <c r="N96" s="4">
        <f t="shared" si="12"/>
        <v>23.84</v>
      </c>
      <c r="O96" s="4"/>
    </row>
    <row r="97" spans="1:15" x14ac:dyDescent="0.2">
      <c r="A97">
        <f t="shared" si="13"/>
        <v>219</v>
      </c>
      <c r="B97" t="s">
        <v>48</v>
      </c>
      <c r="C97" t="s">
        <v>70</v>
      </c>
      <c r="D97" s="48" t="s">
        <v>473</v>
      </c>
      <c r="E97" t="s">
        <v>51</v>
      </c>
      <c r="F97" t="s">
        <v>199</v>
      </c>
      <c r="G97" s="21" t="s">
        <v>367</v>
      </c>
      <c r="H97">
        <v>1</v>
      </c>
      <c r="I97" t="s">
        <v>24</v>
      </c>
      <c r="J97" s="3"/>
      <c r="K97" s="3">
        <v>0.75</v>
      </c>
      <c r="L97" s="3">
        <f t="shared" si="11"/>
        <v>7.5000000000000011E-2</v>
      </c>
      <c r="M97">
        <v>2</v>
      </c>
      <c r="N97" s="4">
        <f t="shared" si="12"/>
        <v>2.2349999999999999</v>
      </c>
      <c r="O97" s="4"/>
    </row>
    <row r="98" spans="1:15" x14ac:dyDescent="0.2">
      <c r="A98">
        <f t="shared" si="13"/>
        <v>220</v>
      </c>
      <c r="B98" t="s">
        <v>48</v>
      </c>
      <c r="C98" s="29" t="s">
        <v>343</v>
      </c>
      <c r="D98" s="48" t="s">
        <v>824</v>
      </c>
      <c r="E98" t="s">
        <v>50</v>
      </c>
      <c r="F98" t="s">
        <v>199</v>
      </c>
      <c r="H98">
        <v>1</v>
      </c>
      <c r="I98" t="s">
        <v>24</v>
      </c>
      <c r="J98" s="3"/>
      <c r="K98" s="3">
        <v>0.3</v>
      </c>
      <c r="L98" s="3">
        <f>(K98+J98)*0.1</f>
        <v>0.03</v>
      </c>
      <c r="M98">
        <v>4</v>
      </c>
      <c r="N98" s="4">
        <f t="shared" si="12"/>
        <v>1.7879999999999998</v>
      </c>
      <c r="O98" s="4"/>
    </row>
    <row r="99" spans="1:15" x14ac:dyDescent="0.2">
      <c r="A99">
        <f t="shared" si="13"/>
        <v>221</v>
      </c>
      <c r="B99" t="s">
        <v>48</v>
      </c>
      <c r="C99" s="29" t="s">
        <v>343</v>
      </c>
      <c r="D99" s="48" t="s">
        <v>825</v>
      </c>
      <c r="E99" t="s">
        <v>50</v>
      </c>
      <c r="F99" t="s">
        <v>199</v>
      </c>
      <c r="H99">
        <v>1</v>
      </c>
      <c r="I99" t="s">
        <v>24</v>
      </c>
      <c r="J99" s="3"/>
      <c r="K99" s="3">
        <v>0.12</v>
      </c>
      <c r="L99" s="3">
        <f>(K99+J99)*0.1</f>
        <v>1.2E-2</v>
      </c>
      <c r="M99">
        <v>4</v>
      </c>
      <c r="N99" s="4">
        <f t="shared" si="12"/>
        <v>0.71519999999999995</v>
      </c>
      <c r="O99" s="4"/>
    </row>
    <row r="100" spans="1:15" x14ac:dyDescent="0.2">
      <c r="A100">
        <f t="shared" si="13"/>
        <v>222</v>
      </c>
      <c r="B100" t="s">
        <v>48</v>
      </c>
      <c r="C100" t="s">
        <v>64</v>
      </c>
      <c r="D100" t="s">
        <v>65</v>
      </c>
      <c r="E100" s="29" t="s">
        <v>383</v>
      </c>
      <c r="F100" t="s">
        <v>59</v>
      </c>
      <c r="H100">
        <v>1</v>
      </c>
      <c r="I100" t="s">
        <v>24</v>
      </c>
      <c r="J100" s="3"/>
      <c r="K100" s="3">
        <v>0.1</v>
      </c>
      <c r="L100" s="3">
        <f>(K100+J100)*0.1</f>
        <v>1.0000000000000002E-2</v>
      </c>
      <c r="M100">
        <v>2</v>
      </c>
      <c r="N100" s="4">
        <f t="shared" si="12"/>
        <v>0.29799999999999999</v>
      </c>
      <c r="O100" s="4"/>
    </row>
    <row r="101" spans="1:15" x14ac:dyDescent="0.2">
      <c r="A101">
        <f t="shared" si="13"/>
        <v>223</v>
      </c>
      <c r="B101" t="s">
        <v>48</v>
      </c>
      <c r="C101" s="29" t="s">
        <v>244</v>
      </c>
      <c r="D101" t="s">
        <v>72</v>
      </c>
      <c r="E101" t="s">
        <v>51</v>
      </c>
      <c r="F101" s="29" t="s">
        <v>199</v>
      </c>
      <c r="G101" s="104" t="s">
        <v>340</v>
      </c>
      <c r="H101">
        <v>3</v>
      </c>
      <c r="I101" t="s">
        <v>24</v>
      </c>
      <c r="J101" s="3"/>
      <c r="K101" s="3">
        <v>2</v>
      </c>
      <c r="L101" s="3">
        <f t="shared" si="11"/>
        <v>0.2</v>
      </c>
      <c r="M101">
        <v>2</v>
      </c>
      <c r="N101" s="4">
        <f t="shared" si="12"/>
        <v>5.96</v>
      </c>
      <c r="O101" s="4"/>
    </row>
    <row r="102" spans="1:15" x14ac:dyDescent="0.2">
      <c r="A102">
        <f t="shared" si="13"/>
        <v>224</v>
      </c>
      <c r="B102" t="s">
        <v>48</v>
      </c>
      <c r="C102" s="29" t="s">
        <v>244</v>
      </c>
      <c r="D102" t="s">
        <v>336</v>
      </c>
      <c r="E102" t="s">
        <v>51</v>
      </c>
      <c r="F102" s="29" t="s">
        <v>199</v>
      </c>
      <c r="G102" s="104" t="s">
        <v>339</v>
      </c>
      <c r="H102">
        <v>3</v>
      </c>
      <c r="I102" t="s">
        <v>24</v>
      </c>
      <c r="J102" s="3"/>
      <c r="K102" s="3">
        <v>1</v>
      </c>
      <c r="L102" s="3">
        <f t="shared" ref="L102:L103" si="14">(K102+J102)*0.1</f>
        <v>0.1</v>
      </c>
      <c r="M102">
        <v>2</v>
      </c>
      <c r="N102" s="4">
        <f t="shared" si="12"/>
        <v>2.98</v>
      </c>
      <c r="O102" s="4"/>
    </row>
    <row r="103" spans="1:15" x14ac:dyDescent="0.2">
      <c r="A103">
        <f t="shared" si="13"/>
        <v>225</v>
      </c>
      <c r="B103" t="s">
        <v>48</v>
      </c>
      <c r="C103" s="29" t="s">
        <v>244</v>
      </c>
      <c r="D103" t="s">
        <v>337</v>
      </c>
      <c r="E103" t="s">
        <v>51</v>
      </c>
      <c r="F103" s="29" t="s">
        <v>199</v>
      </c>
      <c r="G103" s="104" t="s">
        <v>338</v>
      </c>
      <c r="H103">
        <v>3</v>
      </c>
      <c r="I103" t="s">
        <v>24</v>
      </c>
      <c r="J103" s="3"/>
      <c r="K103" s="3">
        <v>0.25</v>
      </c>
      <c r="L103" s="3">
        <f t="shared" si="14"/>
        <v>2.5000000000000001E-2</v>
      </c>
      <c r="M103">
        <v>2</v>
      </c>
      <c r="N103" s="4">
        <f t="shared" si="12"/>
        <v>0.745</v>
      </c>
      <c r="O103" s="4"/>
    </row>
    <row r="104" spans="1:15" x14ac:dyDescent="0.2">
      <c r="A104">
        <f t="shared" si="13"/>
        <v>226</v>
      </c>
      <c r="B104" t="s">
        <v>48</v>
      </c>
      <c r="C104" s="29" t="s">
        <v>244</v>
      </c>
      <c r="D104" s="29" t="s">
        <v>341</v>
      </c>
      <c r="E104" t="s">
        <v>51</v>
      </c>
      <c r="F104" s="29" t="s">
        <v>199</v>
      </c>
      <c r="G104" s="104" t="s">
        <v>342</v>
      </c>
      <c r="H104">
        <v>3</v>
      </c>
      <c r="I104" t="s">
        <v>24</v>
      </c>
      <c r="J104" s="3"/>
      <c r="K104" s="3">
        <v>0.25</v>
      </c>
      <c r="L104" s="3">
        <f t="shared" si="11"/>
        <v>2.5000000000000001E-2</v>
      </c>
      <c r="M104">
        <v>2</v>
      </c>
      <c r="N104" s="4">
        <f t="shared" si="12"/>
        <v>0.745</v>
      </c>
      <c r="O104" s="4"/>
    </row>
    <row r="105" spans="1:15" x14ac:dyDescent="0.2">
      <c r="A105">
        <v>297</v>
      </c>
      <c r="B105" t="s">
        <v>48</v>
      </c>
      <c r="C105" s="6" t="s">
        <v>42</v>
      </c>
      <c r="F105" t="s">
        <v>181</v>
      </c>
      <c r="H105">
        <v>2</v>
      </c>
      <c r="I105" t="s">
        <v>28</v>
      </c>
      <c r="J105" s="3"/>
      <c r="K105" s="3"/>
      <c r="L105" s="3">
        <v>0</v>
      </c>
      <c r="M105">
        <v>1</v>
      </c>
      <c r="N105" s="4"/>
      <c r="O105" s="4"/>
    </row>
    <row r="106" spans="1:15" x14ac:dyDescent="0.2">
      <c r="A106">
        <v>298</v>
      </c>
      <c r="B106" s="9" t="s">
        <v>48</v>
      </c>
      <c r="C106" s="2" t="s">
        <v>43</v>
      </c>
      <c r="D106" s="9"/>
      <c r="E106" s="9"/>
      <c r="F106" s="9"/>
      <c r="G106" s="49"/>
      <c r="H106" s="9">
        <v>2</v>
      </c>
      <c r="I106" s="9" t="s">
        <v>28</v>
      </c>
      <c r="J106" s="11"/>
      <c r="K106" s="11"/>
      <c r="L106" s="11">
        <v>0</v>
      </c>
      <c r="M106" s="9">
        <v>1</v>
      </c>
      <c r="N106" s="11"/>
      <c r="O106" s="12"/>
    </row>
    <row r="107" spans="1:15" x14ac:dyDescent="0.2">
      <c r="A107">
        <v>299</v>
      </c>
      <c r="B107" t="s">
        <v>48</v>
      </c>
      <c r="C107" s="6" t="s">
        <v>73</v>
      </c>
      <c r="J107" s="3"/>
      <c r="K107" s="3"/>
      <c r="L107" s="3"/>
      <c r="N107" s="7">
        <f>SUM(N78:N106)</f>
        <v>986.85380000000032</v>
      </c>
      <c r="O107" s="7"/>
    </row>
    <row r="108" spans="1:15" x14ac:dyDescent="0.2">
      <c r="C108" s="2" t="s">
        <v>44</v>
      </c>
      <c r="D108" s="9"/>
      <c r="E108" s="9"/>
      <c r="F108" s="9"/>
      <c r="G108" s="49"/>
      <c r="H108" s="9"/>
      <c r="I108" s="9"/>
      <c r="J108" s="11"/>
      <c r="K108" s="11"/>
      <c r="L108" s="11"/>
      <c r="M108" s="9"/>
      <c r="N108" s="47">
        <v>0</v>
      </c>
      <c r="O108" s="7"/>
    </row>
    <row r="109" spans="1:15" ht="15.75" x14ac:dyDescent="0.25">
      <c r="C109" s="78" t="s">
        <v>45</v>
      </c>
      <c r="D109" s="78"/>
      <c r="E109" s="78"/>
      <c r="F109" s="78"/>
      <c r="G109" s="79"/>
      <c r="H109" s="78"/>
      <c r="I109" s="78"/>
      <c r="J109" s="80"/>
      <c r="K109" s="80"/>
      <c r="L109" s="82" t="s">
        <v>320</v>
      </c>
      <c r="M109" s="78"/>
      <c r="N109" s="81">
        <v>2899</v>
      </c>
      <c r="O109" s="13"/>
    </row>
    <row r="110" spans="1:15" x14ac:dyDescent="0.2">
      <c r="J110" s="3"/>
      <c r="K110" s="3"/>
      <c r="L110" s="3"/>
      <c r="N110" s="4"/>
      <c r="O110" s="4"/>
    </row>
    <row r="111" spans="1:15" ht="20.25" x14ac:dyDescent="0.3">
      <c r="A111" s="1" t="s">
        <v>784</v>
      </c>
      <c r="B111" s="1"/>
    </row>
    <row r="113" spans="1:21" x14ac:dyDescent="0.2">
      <c r="A113" s="2" t="s">
        <v>4</v>
      </c>
      <c r="B113" s="2" t="s">
        <v>5</v>
      </c>
      <c r="C113" s="2" t="s">
        <v>6</v>
      </c>
      <c r="D113" s="2" t="s">
        <v>7</v>
      </c>
      <c r="E113" s="2" t="s">
        <v>8</v>
      </c>
      <c r="F113" s="2" t="s">
        <v>9</v>
      </c>
      <c r="G113" s="63" t="s">
        <v>10</v>
      </c>
      <c r="H113" s="2" t="s">
        <v>11</v>
      </c>
      <c r="I113" s="2" t="s">
        <v>12</v>
      </c>
      <c r="J113" s="2" t="s">
        <v>13</v>
      </c>
      <c r="K113" s="2" t="s">
        <v>14</v>
      </c>
      <c r="L113" s="2" t="s">
        <v>15</v>
      </c>
      <c r="M113" s="2" t="s">
        <v>16</v>
      </c>
      <c r="N113" s="2" t="s">
        <v>17</v>
      </c>
      <c r="O113" s="2"/>
    </row>
    <row r="114" spans="1:21" x14ac:dyDescent="0.2">
      <c r="A114">
        <v>300</v>
      </c>
      <c r="B114" s="41" t="s">
        <v>74</v>
      </c>
      <c r="C114" s="208" t="s">
        <v>667</v>
      </c>
      <c r="D114" s="209" t="s">
        <v>646</v>
      </c>
      <c r="E114" s="90" t="s">
        <v>668</v>
      </c>
      <c r="F114" s="90" t="s">
        <v>482</v>
      </c>
      <c r="G114" s="210" t="s">
        <v>645</v>
      </c>
      <c r="H114" s="9">
        <v>1</v>
      </c>
      <c r="I114" s="9" t="s">
        <v>24</v>
      </c>
      <c r="J114" s="11">
        <v>48</v>
      </c>
      <c r="K114" s="11"/>
      <c r="L114" s="3">
        <v>10</v>
      </c>
      <c r="M114" s="20">
        <v>2</v>
      </c>
      <c r="N114" s="4">
        <f t="shared" ref="N114" si="15">M114*(L114+K114*$K$34+J114)</f>
        <v>116</v>
      </c>
      <c r="Q114" s="41"/>
      <c r="R114" s="44">
        <f t="shared" ref="R114:T114" si="16">J114</f>
        <v>48</v>
      </c>
      <c r="S114" s="44">
        <f t="shared" si="16"/>
        <v>0</v>
      </c>
      <c r="T114" s="44">
        <f t="shared" si="16"/>
        <v>10</v>
      </c>
      <c r="U114" s="44" t="e">
        <f>(T114+S114*#REF!+R114)*#REF!</f>
        <v>#REF!</v>
      </c>
    </row>
    <row r="115" spans="1:21" x14ac:dyDescent="0.2">
      <c r="A115">
        <f>A114+1</f>
        <v>301</v>
      </c>
      <c r="B115" t="s">
        <v>74</v>
      </c>
      <c r="C115" s="48" t="s">
        <v>470</v>
      </c>
      <c r="D115" s="104" t="s">
        <v>481</v>
      </c>
      <c r="E115" s="48" t="s">
        <v>445</v>
      </c>
      <c r="F115" s="48" t="s">
        <v>482</v>
      </c>
      <c r="G115" s="140" t="s">
        <v>483</v>
      </c>
      <c r="H115" s="140"/>
      <c r="I115" t="s">
        <v>24</v>
      </c>
      <c r="J115" s="3"/>
      <c r="K115" s="3">
        <v>2.82</v>
      </c>
      <c r="L115" s="3">
        <f>(K115+J115)*0.1</f>
        <v>0.28199999999999997</v>
      </c>
      <c r="M115">
        <v>1</v>
      </c>
      <c r="N115" s="4">
        <f t="shared" ref="N115:N131" si="17">M115*(L115+K115*$K$34+J115)</f>
        <v>4.2017999999999995</v>
      </c>
      <c r="O115" s="4"/>
    </row>
    <row r="116" spans="1:21" x14ac:dyDescent="0.2">
      <c r="A116">
        <f t="shared" ref="A116:A131" si="18">+A115+1</f>
        <v>302</v>
      </c>
      <c r="B116" t="s">
        <v>74</v>
      </c>
      <c r="C116" t="s">
        <v>79</v>
      </c>
      <c r="D116" t="s">
        <v>80</v>
      </c>
      <c r="E116" s="29" t="s">
        <v>274</v>
      </c>
      <c r="F116" s="29" t="s">
        <v>199</v>
      </c>
      <c r="G116" s="69" t="s">
        <v>133</v>
      </c>
      <c r="H116">
        <v>1</v>
      </c>
      <c r="I116" t="s">
        <v>24</v>
      </c>
      <c r="J116" s="3"/>
      <c r="K116" s="3">
        <v>1</v>
      </c>
      <c r="L116" s="3">
        <f t="shared" ref="L116:L131" si="19">(K116+J116)*0.1</f>
        <v>0.1</v>
      </c>
      <c r="M116">
        <v>1</v>
      </c>
      <c r="N116" s="4">
        <f t="shared" si="17"/>
        <v>1.49</v>
      </c>
      <c r="O116" s="4"/>
    </row>
    <row r="117" spans="1:21" x14ac:dyDescent="0.2">
      <c r="A117">
        <f t="shared" si="18"/>
        <v>303</v>
      </c>
      <c r="B117" t="s">
        <v>74</v>
      </c>
      <c r="C117" t="s">
        <v>81</v>
      </c>
      <c r="D117" t="s">
        <v>80</v>
      </c>
      <c r="E117" s="29" t="s">
        <v>274</v>
      </c>
      <c r="F117" s="29" t="s">
        <v>199</v>
      </c>
      <c r="G117" s="21" t="s">
        <v>134</v>
      </c>
      <c r="H117">
        <v>1</v>
      </c>
      <c r="I117" t="s">
        <v>24</v>
      </c>
      <c r="J117" s="3"/>
      <c r="K117" s="3">
        <v>1</v>
      </c>
      <c r="L117" s="3">
        <f t="shared" si="19"/>
        <v>0.1</v>
      </c>
      <c r="M117">
        <v>2</v>
      </c>
      <c r="N117" s="4">
        <f t="shared" si="17"/>
        <v>2.98</v>
      </c>
      <c r="O117" s="4"/>
    </row>
    <row r="118" spans="1:21" x14ac:dyDescent="0.2">
      <c r="A118">
        <f t="shared" si="18"/>
        <v>304</v>
      </c>
      <c r="B118" t="s">
        <v>74</v>
      </c>
      <c r="C118" t="s">
        <v>83</v>
      </c>
      <c r="D118" t="s">
        <v>84</v>
      </c>
      <c r="E118" t="s">
        <v>82</v>
      </c>
      <c r="F118" t="s">
        <v>195</v>
      </c>
      <c r="H118">
        <v>2</v>
      </c>
      <c r="I118" t="s">
        <v>28</v>
      </c>
      <c r="J118" s="3">
        <v>25</v>
      </c>
      <c r="L118" s="3">
        <f t="shared" si="19"/>
        <v>2.5</v>
      </c>
      <c r="M118">
        <v>1</v>
      </c>
      <c r="N118" s="4">
        <f t="shared" si="17"/>
        <v>27.5</v>
      </c>
      <c r="O118" s="4"/>
    </row>
    <row r="119" spans="1:21" x14ac:dyDescent="0.2">
      <c r="A119">
        <f t="shared" si="18"/>
        <v>305</v>
      </c>
      <c r="B119" t="s">
        <v>74</v>
      </c>
      <c r="C119" t="s">
        <v>137</v>
      </c>
      <c r="D119" t="s">
        <v>86</v>
      </c>
      <c r="E119" t="s">
        <v>82</v>
      </c>
      <c r="F119" t="s">
        <v>131</v>
      </c>
      <c r="G119" s="21" t="s">
        <v>136</v>
      </c>
      <c r="H119">
        <v>1</v>
      </c>
      <c r="I119" t="s">
        <v>24</v>
      </c>
      <c r="J119" s="3">
        <v>2.5</v>
      </c>
      <c r="L119" s="3">
        <f t="shared" si="19"/>
        <v>0.25</v>
      </c>
      <c r="M119">
        <v>1</v>
      </c>
      <c r="N119" s="4">
        <f t="shared" si="17"/>
        <v>2.75</v>
      </c>
      <c r="O119" s="4"/>
    </row>
    <row r="120" spans="1:21" x14ac:dyDescent="0.2">
      <c r="A120">
        <f t="shared" si="18"/>
        <v>306</v>
      </c>
      <c r="B120" t="s">
        <v>74</v>
      </c>
      <c r="C120" t="s">
        <v>87</v>
      </c>
      <c r="D120" t="s">
        <v>88</v>
      </c>
      <c r="E120" t="s">
        <v>82</v>
      </c>
      <c r="F120" t="s">
        <v>62</v>
      </c>
      <c r="H120">
        <v>2</v>
      </c>
      <c r="I120" t="s">
        <v>28</v>
      </c>
      <c r="J120" s="3">
        <v>25</v>
      </c>
      <c r="L120" s="3">
        <f t="shared" si="19"/>
        <v>2.5</v>
      </c>
      <c r="M120">
        <v>1</v>
      </c>
      <c r="N120" s="4">
        <f t="shared" si="17"/>
        <v>27.5</v>
      </c>
      <c r="O120" s="4"/>
    </row>
    <row r="121" spans="1:21" x14ac:dyDescent="0.2">
      <c r="A121">
        <f t="shared" si="18"/>
        <v>307</v>
      </c>
      <c r="B121" t="s">
        <v>74</v>
      </c>
      <c r="C121" t="s">
        <v>100</v>
      </c>
      <c r="D121" t="s">
        <v>101</v>
      </c>
      <c r="E121" t="s">
        <v>82</v>
      </c>
      <c r="F121" t="s">
        <v>62</v>
      </c>
      <c r="H121">
        <v>2</v>
      </c>
      <c r="I121" t="s">
        <v>28</v>
      </c>
      <c r="J121" s="3">
        <v>85</v>
      </c>
      <c r="L121" s="3">
        <f>(K121+J121)*0.1</f>
        <v>8.5</v>
      </c>
      <c r="M121">
        <v>1</v>
      </c>
      <c r="N121" s="4">
        <f t="shared" si="17"/>
        <v>93.5</v>
      </c>
      <c r="O121" s="4"/>
    </row>
    <row r="122" spans="1:21" x14ac:dyDescent="0.2">
      <c r="A122">
        <f t="shared" si="18"/>
        <v>308</v>
      </c>
      <c r="B122" t="s">
        <v>74</v>
      </c>
      <c r="C122" t="s">
        <v>89</v>
      </c>
      <c r="D122" t="s">
        <v>90</v>
      </c>
      <c r="E122" t="s">
        <v>82</v>
      </c>
      <c r="F122" t="s">
        <v>91</v>
      </c>
      <c r="G122" s="21" t="s">
        <v>92</v>
      </c>
      <c r="H122">
        <v>2</v>
      </c>
      <c r="I122" t="s">
        <v>24</v>
      </c>
      <c r="J122" s="3">
        <v>2</v>
      </c>
      <c r="L122" s="3">
        <f t="shared" si="19"/>
        <v>0.2</v>
      </c>
      <c r="M122">
        <v>2</v>
      </c>
      <c r="N122" s="4">
        <f t="shared" si="17"/>
        <v>4.4000000000000004</v>
      </c>
      <c r="O122" s="4"/>
    </row>
    <row r="123" spans="1:21" x14ac:dyDescent="0.2">
      <c r="A123">
        <f t="shared" si="18"/>
        <v>309</v>
      </c>
      <c r="B123" t="s">
        <v>74</v>
      </c>
      <c r="C123" t="s">
        <v>93</v>
      </c>
      <c r="D123" t="s">
        <v>94</v>
      </c>
      <c r="E123" t="s">
        <v>82</v>
      </c>
      <c r="F123" t="s">
        <v>95</v>
      </c>
      <c r="G123" s="21" t="s">
        <v>96</v>
      </c>
      <c r="H123">
        <v>2</v>
      </c>
      <c r="I123" t="s">
        <v>24</v>
      </c>
      <c r="J123" s="3">
        <v>2</v>
      </c>
      <c r="L123" s="3">
        <f t="shared" si="19"/>
        <v>0.2</v>
      </c>
      <c r="M123">
        <v>1</v>
      </c>
      <c r="N123" s="4">
        <f t="shared" si="17"/>
        <v>2.2000000000000002</v>
      </c>
      <c r="O123" s="4"/>
    </row>
    <row r="124" spans="1:21" x14ac:dyDescent="0.2">
      <c r="A124">
        <f t="shared" si="18"/>
        <v>310</v>
      </c>
      <c r="B124" t="s">
        <v>74</v>
      </c>
      <c r="C124" t="s">
        <v>97</v>
      </c>
      <c r="D124" t="s">
        <v>98</v>
      </c>
      <c r="E124" t="s">
        <v>82</v>
      </c>
      <c r="F124" t="s">
        <v>95</v>
      </c>
      <c r="G124" s="21" t="s">
        <v>99</v>
      </c>
      <c r="H124">
        <v>2</v>
      </c>
      <c r="I124" t="s">
        <v>24</v>
      </c>
      <c r="J124" s="3">
        <f>185.5/15</f>
        <v>12.366666666666667</v>
      </c>
      <c r="L124" s="3">
        <f t="shared" si="19"/>
        <v>1.2366666666666668</v>
      </c>
      <c r="M124">
        <v>1</v>
      </c>
      <c r="N124" s="4">
        <f t="shared" si="17"/>
        <v>13.603333333333333</v>
      </c>
      <c r="O124" s="4"/>
    </row>
    <row r="125" spans="1:21" x14ac:dyDescent="0.2">
      <c r="A125">
        <f t="shared" si="18"/>
        <v>311</v>
      </c>
      <c r="B125" t="s">
        <v>74</v>
      </c>
      <c r="C125" t="s">
        <v>102</v>
      </c>
      <c r="D125" t="s">
        <v>103</v>
      </c>
      <c r="E125" t="s">
        <v>82</v>
      </c>
      <c r="F125" s="29" t="s">
        <v>199</v>
      </c>
      <c r="G125" s="21" t="s">
        <v>104</v>
      </c>
      <c r="H125">
        <v>3</v>
      </c>
      <c r="I125" t="s">
        <v>24</v>
      </c>
      <c r="J125" s="3"/>
      <c r="K125" s="3">
        <v>5</v>
      </c>
      <c r="L125" s="3">
        <f t="shared" si="19"/>
        <v>0.5</v>
      </c>
      <c r="M125">
        <v>1</v>
      </c>
      <c r="N125" s="4">
        <f t="shared" si="17"/>
        <v>7.4499999999999993</v>
      </c>
      <c r="O125" s="4"/>
    </row>
    <row r="126" spans="1:21" x14ac:dyDescent="0.2">
      <c r="A126">
        <f t="shared" si="18"/>
        <v>312</v>
      </c>
      <c r="B126" t="s">
        <v>74</v>
      </c>
      <c r="C126" t="s">
        <v>105</v>
      </c>
      <c r="D126" t="s">
        <v>106</v>
      </c>
      <c r="E126" t="s">
        <v>82</v>
      </c>
      <c r="F126" t="s">
        <v>107</v>
      </c>
      <c r="G126" s="21" t="s">
        <v>108</v>
      </c>
      <c r="H126">
        <v>3</v>
      </c>
      <c r="I126" t="s">
        <v>24</v>
      </c>
      <c r="J126" s="3"/>
      <c r="K126" s="3">
        <v>0.25</v>
      </c>
      <c r="L126" s="3">
        <f t="shared" si="19"/>
        <v>2.5000000000000001E-2</v>
      </c>
      <c r="M126">
        <v>4</v>
      </c>
      <c r="N126" s="4">
        <f t="shared" si="17"/>
        <v>1.49</v>
      </c>
      <c r="O126" s="4"/>
    </row>
    <row r="127" spans="1:21" x14ac:dyDescent="0.2">
      <c r="A127">
        <f t="shared" si="18"/>
        <v>313</v>
      </c>
      <c r="B127" t="s">
        <v>74</v>
      </c>
      <c r="C127" s="48" t="s">
        <v>463</v>
      </c>
      <c r="D127" s="48" t="s">
        <v>465</v>
      </c>
      <c r="E127" t="s">
        <v>82</v>
      </c>
      <c r="F127" t="s">
        <v>107</v>
      </c>
      <c r="G127" s="21" t="s">
        <v>111</v>
      </c>
      <c r="H127">
        <v>3</v>
      </c>
      <c r="I127" t="s">
        <v>24</v>
      </c>
      <c r="K127" s="3">
        <v>0.25</v>
      </c>
      <c r="L127" s="3">
        <f t="shared" si="19"/>
        <v>2.5000000000000001E-2</v>
      </c>
      <c r="M127">
        <v>2</v>
      </c>
      <c r="N127" s="4">
        <f t="shared" si="17"/>
        <v>0.745</v>
      </c>
      <c r="O127" s="4"/>
    </row>
    <row r="128" spans="1:21" x14ac:dyDescent="0.2">
      <c r="A128">
        <f t="shared" si="18"/>
        <v>314</v>
      </c>
      <c r="B128" t="s">
        <v>74</v>
      </c>
      <c r="C128" s="48" t="s">
        <v>464</v>
      </c>
      <c r="D128" s="48" t="s">
        <v>466</v>
      </c>
      <c r="E128" t="s">
        <v>82</v>
      </c>
      <c r="F128" t="s">
        <v>107</v>
      </c>
      <c r="G128" s="21" t="s">
        <v>114</v>
      </c>
      <c r="H128">
        <v>3</v>
      </c>
      <c r="I128" t="s">
        <v>24</v>
      </c>
      <c r="K128" s="3">
        <v>0.25</v>
      </c>
      <c r="L128" s="3">
        <f t="shared" si="19"/>
        <v>2.5000000000000001E-2</v>
      </c>
      <c r="M128">
        <v>2</v>
      </c>
      <c r="N128" s="4">
        <f t="shared" si="17"/>
        <v>0.745</v>
      </c>
      <c r="O128" s="4"/>
    </row>
    <row r="129" spans="1:18" x14ac:dyDescent="0.2">
      <c r="A129">
        <f t="shared" si="18"/>
        <v>315</v>
      </c>
      <c r="B129" t="s">
        <v>74</v>
      </c>
      <c r="C129" s="48" t="s">
        <v>459</v>
      </c>
      <c r="D129" s="48" t="s">
        <v>460</v>
      </c>
      <c r="E129" t="s">
        <v>82</v>
      </c>
      <c r="F129" t="s">
        <v>107</v>
      </c>
      <c r="G129" s="21" t="s">
        <v>117</v>
      </c>
      <c r="H129">
        <v>3</v>
      </c>
      <c r="I129" t="s">
        <v>24</v>
      </c>
      <c r="K129" s="3">
        <v>0.25</v>
      </c>
      <c r="L129" s="3">
        <f t="shared" si="19"/>
        <v>2.5000000000000001E-2</v>
      </c>
      <c r="M129">
        <v>2</v>
      </c>
      <c r="N129" s="4">
        <f t="shared" si="17"/>
        <v>0.745</v>
      </c>
      <c r="O129" s="4"/>
    </row>
    <row r="130" spans="1:18" x14ac:dyDescent="0.2">
      <c r="A130">
        <f t="shared" si="18"/>
        <v>316</v>
      </c>
      <c r="B130" t="s">
        <v>74</v>
      </c>
      <c r="C130" s="48" t="s">
        <v>461</v>
      </c>
      <c r="D130" s="48" t="s">
        <v>462</v>
      </c>
      <c r="E130" t="s">
        <v>82</v>
      </c>
      <c r="F130" t="s">
        <v>107</v>
      </c>
      <c r="G130" s="21" t="s">
        <v>120</v>
      </c>
      <c r="H130">
        <v>3</v>
      </c>
      <c r="I130" t="s">
        <v>24</v>
      </c>
      <c r="K130" s="3">
        <v>0.25</v>
      </c>
      <c r="L130" s="3">
        <f t="shared" si="19"/>
        <v>2.5000000000000001E-2</v>
      </c>
      <c r="M130">
        <v>2</v>
      </c>
      <c r="N130" s="4">
        <f t="shared" si="17"/>
        <v>0.745</v>
      </c>
      <c r="O130" s="4"/>
    </row>
    <row r="131" spans="1:18" x14ac:dyDescent="0.2">
      <c r="A131">
        <f t="shared" si="18"/>
        <v>317</v>
      </c>
      <c r="B131" t="s">
        <v>74</v>
      </c>
      <c r="C131" t="s">
        <v>121</v>
      </c>
      <c r="D131" t="s">
        <v>122</v>
      </c>
      <c r="E131" t="s">
        <v>82</v>
      </c>
      <c r="F131" s="29" t="s">
        <v>199</v>
      </c>
      <c r="H131">
        <v>1</v>
      </c>
      <c r="I131" t="s">
        <v>24</v>
      </c>
      <c r="J131" s="3">
        <v>0.4</v>
      </c>
      <c r="K131" s="3"/>
      <c r="L131" s="3">
        <f t="shared" si="19"/>
        <v>4.0000000000000008E-2</v>
      </c>
      <c r="M131" s="20">
        <v>1</v>
      </c>
      <c r="N131" s="4">
        <f t="shared" si="17"/>
        <v>0.44000000000000006</v>
      </c>
      <c r="O131" s="4"/>
    </row>
    <row r="132" spans="1:18" x14ac:dyDescent="0.2">
      <c r="A132">
        <v>397</v>
      </c>
      <c r="B132" t="s">
        <v>74</v>
      </c>
      <c r="C132" s="6" t="s">
        <v>42</v>
      </c>
      <c r="F132" t="s">
        <v>31</v>
      </c>
      <c r="H132">
        <v>2</v>
      </c>
      <c r="I132" t="s">
        <v>28</v>
      </c>
      <c r="J132" s="3"/>
      <c r="K132" s="3"/>
      <c r="L132" s="3">
        <v>0</v>
      </c>
      <c r="M132">
        <v>1</v>
      </c>
      <c r="N132" s="4"/>
      <c r="O132" s="4"/>
    </row>
    <row r="133" spans="1:18" x14ac:dyDescent="0.2">
      <c r="A133">
        <v>398</v>
      </c>
      <c r="B133" t="s">
        <v>74</v>
      </c>
      <c r="C133" s="2" t="s">
        <v>43</v>
      </c>
      <c r="D133" s="9"/>
      <c r="E133" s="9"/>
      <c r="F133" s="9"/>
      <c r="G133" s="49"/>
      <c r="H133" s="9">
        <v>2</v>
      </c>
      <c r="I133" s="9" t="s">
        <v>28</v>
      </c>
      <c r="J133" s="11"/>
      <c r="K133" s="11"/>
      <c r="L133" s="11">
        <v>0</v>
      </c>
      <c r="M133" s="9">
        <v>1</v>
      </c>
      <c r="N133" s="12"/>
      <c r="O133" s="12"/>
    </row>
    <row r="134" spans="1:18" x14ac:dyDescent="0.2">
      <c r="A134">
        <v>399</v>
      </c>
      <c r="B134" t="s">
        <v>74</v>
      </c>
      <c r="C134" s="35" t="s">
        <v>277</v>
      </c>
      <c r="J134" s="3"/>
      <c r="K134" s="3"/>
      <c r="L134" s="3"/>
      <c r="N134" s="7">
        <f>SUM(N114:N133)</f>
        <v>308.48513333333335</v>
      </c>
      <c r="O134" s="7"/>
    </row>
    <row r="135" spans="1:18" ht="15.75" x14ac:dyDescent="0.25">
      <c r="C135" s="9" t="s">
        <v>45</v>
      </c>
      <c r="D135" s="9"/>
      <c r="E135" s="9"/>
      <c r="F135" s="9"/>
      <c r="G135" s="49"/>
      <c r="H135" s="9"/>
      <c r="I135" s="9"/>
      <c r="J135" s="11"/>
      <c r="K135" s="11"/>
      <c r="L135" s="206" t="e">
        <f>#REF!</f>
        <v>#REF!</v>
      </c>
      <c r="M135" s="9"/>
      <c r="N135" s="77">
        <v>750</v>
      </c>
      <c r="O135" s="13"/>
    </row>
    <row r="137" spans="1:18" ht="20.25" x14ac:dyDescent="0.3">
      <c r="A137" s="26" t="s">
        <v>138</v>
      </c>
      <c r="B137" s="1"/>
    </row>
    <row r="139" spans="1:18" x14ac:dyDescent="0.2">
      <c r="A139" s="2" t="s">
        <v>4</v>
      </c>
      <c r="B139" s="2" t="s">
        <v>5</v>
      </c>
      <c r="C139" s="2" t="s">
        <v>6</v>
      </c>
      <c r="D139" s="2" t="s">
        <v>7</v>
      </c>
      <c r="E139" s="2" t="s">
        <v>8</v>
      </c>
      <c r="F139" s="2" t="s">
        <v>9</v>
      </c>
      <c r="G139" s="63" t="s">
        <v>10</v>
      </c>
      <c r="H139" s="2" t="s">
        <v>11</v>
      </c>
      <c r="I139" s="2" t="s">
        <v>12</v>
      </c>
      <c r="J139" s="2" t="s">
        <v>13</v>
      </c>
      <c r="K139" s="2" t="s">
        <v>14</v>
      </c>
      <c r="L139" s="2" t="s">
        <v>15</v>
      </c>
      <c r="M139" s="2" t="s">
        <v>16</v>
      </c>
      <c r="N139" s="2" t="s">
        <v>17</v>
      </c>
      <c r="O139" s="2"/>
    </row>
    <row r="140" spans="1:18" x14ac:dyDescent="0.2">
      <c r="A140">
        <f>A118</f>
        <v>304</v>
      </c>
      <c r="B140" t="s">
        <v>74</v>
      </c>
      <c r="C140" t="s">
        <v>83</v>
      </c>
      <c r="D140" t="s">
        <v>794</v>
      </c>
      <c r="E140" t="s">
        <v>82</v>
      </c>
      <c r="F140" t="s">
        <v>181</v>
      </c>
      <c r="H140">
        <v>2</v>
      </c>
      <c r="I140" t="s">
        <v>28</v>
      </c>
      <c r="J140" s="3">
        <v>2.5</v>
      </c>
      <c r="L140" s="3">
        <f t="shared" ref="L140:L152" si="20">(K140+J140)*0.1</f>
        <v>0.25</v>
      </c>
      <c r="M140">
        <v>1</v>
      </c>
      <c r="N140" s="4">
        <f t="shared" ref="N140:N154" si="21">M140*(L140+K140*$K$34+J140)</f>
        <v>2.75</v>
      </c>
      <c r="O140" s="4"/>
      <c r="Q140" s="41"/>
      <c r="R140" s="44">
        <f>J140</f>
        <v>2.5</v>
      </c>
    </row>
    <row r="141" spans="1:18" x14ac:dyDescent="0.2">
      <c r="A141">
        <f t="shared" ref="A141:A152" si="22">+A140+1</f>
        <v>305</v>
      </c>
      <c r="B141" t="s">
        <v>74</v>
      </c>
      <c r="C141" t="s">
        <v>85</v>
      </c>
      <c r="D141" t="s">
        <v>86</v>
      </c>
      <c r="E141" t="s">
        <v>82</v>
      </c>
      <c r="J141" s="3">
        <v>4</v>
      </c>
      <c r="L141" s="3">
        <f t="shared" si="20"/>
        <v>0.4</v>
      </c>
      <c r="M141">
        <v>1</v>
      </c>
      <c r="N141" s="4">
        <f t="shared" si="21"/>
        <v>4.4000000000000004</v>
      </c>
      <c r="O141" s="4"/>
    </row>
    <row r="142" spans="1:18" x14ac:dyDescent="0.2">
      <c r="A142">
        <f t="shared" si="22"/>
        <v>306</v>
      </c>
      <c r="B142" t="s">
        <v>74</v>
      </c>
      <c r="C142" t="s">
        <v>100</v>
      </c>
      <c r="D142" t="s">
        <v>793</v>
      </c>
      <c r="E142" t="s">
        <v>82</v>
      </c>
      <c r="F142" t="s">
        <v>181</v>
      </c>
      <c r="H142">
        <v>2</v>
      </c>
      <c r="I142" t="s">
        <v>28</v>
      </c>
      <c r="J142" s="3">
        <v>2.5</v>
      </c>
      <c r="L142" s="3">
        <f>(K142+J142)*0.1</f>
        <v>0.25</v>
      </c>
      <c r="M142">
        <v>1</v>
      </c>
      <c r="N142" s="4">
        <f>M142*(L142+K142*$K$34+J142)</f>
        <v>2.75</v>
      </c>
      <c r="O142" s="4"/>
    </row>
    <row r="143" spans="1:18" x14ac:dyDescent="0.2">
      <c r="A143">
        <f t="shared" si="22"/>
        <v>307</v>
      </c>
      <c r="B143" t="s">
        <v>74</v>
      </c>
      <c r="C143" t="s">
        <v>89</v>
      </c>
      <c r="D143" t="s">
        <v>806</v>
      </c>
      <c r="E143" t="s">
        <v>82</v>
      </c>
      <c r="F143" t="s">
        <v>199</v>
      </c>
      <c r="G143" s="21" t="s">
        <v>804</v>
      </c>
      <c r="H143">
        <v>2</v>
      </c>
      <c r="I143" t="s">
        <v>24</v>
      </c>
      <c r="J143" s="3">
        <v>2</v>
      </c>
      <c r="L143" s="3">
        <f t="shared" si="20"/>
        <v>0.2</v>
      </c>
      <c r="M143">
        <v>2</v>
      </c>
      <c r="N143" s="4">
        <f t="shared" si="21"/>
        <v>4.4000000000000004</v>
      </c>
      <c r="O143" s="4"/>
    </row>
    <row r="144" spans="1:18" x14ac:dyDescent="0.2">
      <c r="A144">
        <f t="shared" si="22"/>
        <v>308</v>
      </c>
      <c r="B144" t="s">
        <v>74</v>
      </c>
      <c r="C144" t="s">
        <v>93</v>
      </c>
      <c r="D144" t="s">
        <v>805</v>
      </c>
      <c r="E144" t="s">
        <v>82</v>
      </c>
      <c r="F144" t="s">
        <v>199</v>
      </c>
      <c r="G144" s="21" t="s">
        <v>803</v>
      </c>
      <c r="H144">
        <v>2</v>
      </c>
      <c r="I144" t="s">
        <v>24</v>
      </c>
      <c r="J144" s="3">
        <v>2</v>
      </c>
      <c r="L144" s="3">
        <f t="shared" si="20"/>
        <v>0.2</v>
      </c>
      <c r="M144">
        <v>1</v>
      </c>
      <c r="N144" s="4">
        <f t="shared" si="21"/>
        <v>2.2000000000000002</v>
      </c>
      <c r="O144" s="4"/>
    </row>
    <row r="145" spans="1:15" x14ac:dyDescent="0.2">
      <c r="A145">
        <f t="shared" si="22"/>
        <v>309</v>
      </c>
      <c r="B145" t="s">
        <v>74</v>
      </c>
      <c r="C145" t="s">
        <v>97</v>
      </c>
      <c r="D145" t="s">
        <v>801</v>
      </c>
      <c r="E145" t="s">
        <v>82</v>
      </c>
      <c r="F145" t="s">
        <v>199</v>
      </c>
      <c r="G145" s="21" t="s">
        <v>802</v>
      </c>
      <c r="H145">
        <v>2</v>
      </c>
      <c r="I145" t="s">
        <v>24</v>
      </c>
      <c r="J145" s="3">
        <f>185.5/15</f>
        <v>12.366666666666667</v>
      </c>
      <c r="L145" s="3">
        <f t="shared" si="20"/>
        <v>1.2366666666666668</v>
      </c>
      <c r="M145">
        <v>1</v>
      </c>
      <c r="N145" s="4">
        <f t="shared" si="21"/>
        <v>13.603333333333333</v>
      </c>
      <c r="O145" s="4"/>
    </row>
    <row r="146" spans="1:15" x14ac:dyDescent="0.2">
      <c r="A146">
        <f t="shared" si="22"/>
        <v>310</v>
      </c>
      <c r="B146" t="s">
        <v>74</v>
      </c>
      <c r="C146" t="s">
        <v>102</v>
      </c>
      <c r="D146" t="s">
        <v>103</v>
      </c>
      <c r="E146" t="s">
        <v>82</v>
      </c>
      <c r="F146" s="29" t="s">
        <v>199</v>
      </c>
      <c r="G146" s="21" t="s">
        <v>807</v>
      </c>
      <c r="H146">
        <v>3</v>
      </c>
      <c r="I146" t="s">
        <v>24</v>
      </c>
      <c r="J146" s="3"/>
      <c r="K146" s="3">
        <v>5</v>
      </c>
      <c r="L146" s="3">
        <f t="shared" si="20"/>
        <v>0.5</v>
      </c>
      <c r="M146">
        <v>1</v>
      </c>
      <c r="N146" s="4">
        <f t="shared" si="21"/>
        <v>7.4499999999999993</v>
      </c>
      <c r="O146" s="4"/>
    </row>
    <row r="147" spans="1:15" x14ac:dyDescent="0.2">
      <c r="A147">
        <f t="shared" si="22"/>
        <v>311</v>
      </c>
      <c r="B147" t="s">
        <v>74</v>
      </c>
      <c r="C147" t="s">
        <v>105</v>
      </c>
      <c r="D147" t="s">
        <v>106</v>
      </c>
      <c r="E147" t="s">
        <v>82</v>
      </c>
      <c r="F147" t="s">
        <v>107</v>
      </c>
      <c r="G147" s="21" t="s">
        <v>108</v>
      </c>
      <c r="H147">
        <v>3</v>
      </c>
      <c r="I147" t="s">
        <v>24</v>
      </c>
      <c r="J147" s="3"/>
      <c r="K147" s="3">
        <v>1</v>
      </c>
      <c r="L147" s="3">
        <f t="shared" si="20"/>
        <v>0.1</v>
      </c>
      <c r="M147">
        <v>4</v>
      </c>
      <c r="N147" s="4">
        <f t="shared" si="21"/>
        <v>5.96</v>
      </c>
      <c r="O147" s="4"/>
    </row>
    <row r="148" spans="1:15" x14ac:dyDescent="0.2">
      <c r="A148">
        <f t="shared" si="22"/>
        <v>312</v>
      </c>
      <c r="B148" t="s">
        <v>74</v>
      </c>
      <c r="C148" s="48" t="s">
        <v>463</v>
      </c>
      <c r="D148" s="48" t="s">
        <v>465</v>
      </c>
      <c r="E148" t="s">
        <v>82</v>
      </c>
      <c r="F148" t="s">
        <v>107</v>
      </c>
      <c r="G148" s="21" t="s">
        <v>111</v>
      </c>
      <c r="H148">
        <v>3</v>
      </c>
      <c r="I148" t="s">
        <v>24</v>
      </c>
      <c r="K148" s="3">
        <v>1</v>
      </c>
      <c r="L148" s="3">
        <f t="shared" si="20"/>
        <v>0.1</v>
      </c>
      <c r="M148">
        <v>2</v>
      </c>
      <c r="N148" s="4">
        <f t="shared" si="21"/>
        <v>2.98</v>
      </c>
      <c r="O148" s="4"/>
    </row>
    <row r="149" spans="1:15" x14ac:dyDescent="0.2">
      <c r="A149">
        <f t="shared" si="22"/>
        <v>313</v>
      </c>
      <c r="B149" t="s">
        <v>74</v>
      </c>
      <c r="C149" s="48" t="s">
        <v>464</v>
      </c>
      <c r="D149" s="48" t="s">
        <v>466</v>
      </c>
      <c r="E149" t="s">
        <v>82</v>
      </c>
      <c r="F149" t="s">
        <v>107</v>
      </c>
      <c r="G149" s="21" t="s">
        <v>114</v>
      </c>
      <c r="H149">
        <v>3</v>
      </c>
      <c r="I149" t="s">
        <v>24</v>
      </c>
      <c r="K149" s="3">
        <v>1</v>
      </c>
      <c r="L149" s="3">
        <f t="shared" si="20"/>
        <v>0.1</v>
      </c>
      <c r="M149">
        <v>2</v>
      </c>
      <c r="N149" s="4">
        <f t="shared" si="21"/>
        <v>2.98</v>
      </c>
      <c r="O149" s="4"/>
    </row>
    <row r="150" spans="1:15" x14ac:dyDescent="0.2">
      <c r="A150">
        <f t="shared" si="22"/>
        <v>314</v>
      </c>
      <c r="B150" t="s">
        <v>74</v>
      </c>
      <c r="C150" s="48" t="s">
        <v>459</v>
      </c>
      <c r="D150" s="48" t="s">
        <v>460</v>
      </c>
      <c r="E150" t="s">
        <v>82</v>
      </c>
      <c r="F150" t="s">
        <v>107</v>
      </c>
      <c r="G150" s="21" t="s">
        <v>117</v>
      </c>
      <c r="H150">
        <v>3</v>
      </c>
      <c r="I150" t="s">
        <v>24</v>
      </c>
      <c r="K150" s="3">
        <v>1</v>
      </c>
      <c r="L150" s="3">
        <f t="shared" si="20"/>
        <v>0.1</v>
      </c>
      <c r="M150">
        <v>2</v>
      </c>
      <c r="N150" s="4">
        <f t="shared" si="21"/>
        <v>2.98</v>
      </c>
      <c r="O150" s="4"/>
    </row>
    <row r="151" spans="1:15" x14ac:dyDescent="0.2">
      <c r="A151">
        <f t="shared" si="22"/>
        <v>315</v>
      </c>
      <c r="B151" t="s">
        <v>74</v>
      </c>
      <c r="C151" s="48" t="s">
        <v>461</v>
      </c>
      <c r="D151" s="48" t="s">
        <v>462</v>
      </c>
      <c r="E151" t="s">
        <v>82</v>
      </c>
      <c r="F151" t="s">
        <v>107</v>
      </c>
      <c r="G151" s="21" t="s">
        <v>120</v>
      </c>
      <c r="H151">
        <v>3</v>
      </c>
      <c r="I151" t="s">
        <v>24</v>
      </c>
      <c r="K151" s="3">
        <v>1</v>
      </c>
      <c r="L151" s="3">
        <f t="shared" si="20"/>
        <v>0.1</v>
      </c>
      <c r="M151">
        <v>2</v>
      </c>
      <c r="N151" s="4">
        <f t="shared" si="21"/>
        <v>2.98</v>
      </c>
      <c r="O151" s="4"/>
    </row>
    <row r="152" spans="1:15" x14ac:dyDescent="0.2">
      <c r="A152">
        <f t="shared" si="22"/>
        <v>316</v>
      </c>
      <c r="B152" t="s">
        <v>74</v>
      </c>
      <c r="C152" t="s">
        <v>121</v>
      </c>
      <c r="D152" t="s">
        <v>122</v>
      </c>
      <c r="E152" t="s">
        <v>82</v>
      </c>
      <c r="F152" t="s">
        <v>123</v>
      </c>
      <c r="H152">
        <v>1</v>
      </c>
      <c r="I152" t="s">
        <v>24</v>
      </c>
      <c r="J152" s="3">
        <v>0.1</v>
      </c>
      <c r="K152" s="3"/>
      <c r="L152" s="3">
        <f t="shared" si="20"/>
        <v>1.0000000000000002E-2</v>
      </c>
      <c r="M152" s="20">
        <v>1</v>
      </c>
      <c r="N152" s="4">
        <f t="shared" si="21"/>
        <v>0.11000000000000001</v>
      </c>
      <c r="O152" s="4"/>
    </row>
    <row r="153" spans="1:15" x14ac:dyDescent="0.2">
      <c r="A153">
        <v>397</v>
      </c>
      <c r="B153" t="s">
        <v>74</v>
      </c>
      <c r="C153" s="6" t="s">
        <v>42</v>
      </c>
      <c r="F153" t="s">
        <v>31</v>
      </c>
      <c r="H153">
        <v>2</v>
      </c>
      <c r="I153" t="s">
        <v>28</v>
      </c>
      <c r="J153" s="3"/>
      <c r="K153" s="3"/>
      <c r="L153" s="3">
        <v>0</v>
      </c>
      <c r="M153">
        <v>1</v>
      </c>
      <c r="N153" s="4"/>
      <c r="O153" s="4"/>
    </row>
    <row r="154" spans="1:15" x14ac:dyDescent="0.2">
      <c r="A154">
        <v>398</v>
      </c>
      <c r="B154" t="s">
        <v>74</v>
      </c>
      <c r="C154" s="2" t="s">
        <v>43</v>
      </c>
      <c r="D154" s="9"/>
      <c r="E154" s="9"/>
      <c r="F154" s="9"/>
      <c r="G154" s="49"/>
      <c r="H154" s="9">
        <v>2</v>
      </c>
      <c r="I154" s="9" t="s">
        <v>28</v>
      </c>
      <c r="J154" s="11">
        <v>0</v>
      </c>
      <c r="K154" s="11"/>
      <c r="L154" s="11">
        <v>0</v>
      </c>
      <c r="M154" s="9">
        <v>1</v>
      </c>
      <c r="N154" s="12">
        <f t="shared" si="21"/>
        <v>0</v>
      </c>
      <c r="O154" s="12"/>
    </row>
    <row r="155" spans="1:15" x14ac:dyDescent="0.2">
      <c r="A155">
        <v>398</v>
      </c>
      <c r="B155" t="s">
        <v>74</v>
      </c>
      <c r="C155" s="35" t="s">
        <v>237</v>
      </c>
      <c r="J155" s="3"/>
      <c r="K155" s="3"/>
      <c r="L155" s="3"/>
      <c r="N155" s="7">
        <f>SUM(N140:N154)</f>
        <v>55.543333333333315</v>
      </c>
      <c r="O155" s="7"/>
    </row>
    <row r="156" spans="1:15" ht="15.75" x14ac:dyDescent="0.25">
      <c r="C156" s="9" t="s">
        <v>45</v>
      </c>
      <c r="D156" s="9"/>
      <c r="E156" s="9"/>
      <c r="F156" s="9"/>
      <c r="G156" s="49"/>
      <c r="H156" s="9"/>
      <c r="I156" s="9"/>
      <c r="J156" s="11"/>
      <c r="K156" s="11"/>
      <c r="L156" s="82" t="s">
        <v>321</v>
      </c>
      <c r="M156" s="9"/>
      <c r="N156" s="77">
        <v>190</v>
      </c>
      <c r="O156" s="13"/>
    </row>
    <row r="157" spans="1:15" ht="15.75" x14ac:dyDescent="0.25">
      <c r="J157" s="3"/>
      <c r="K157" s="3"/>
      <c r="L157" s="3"/>
      <c r="N157" s="51"/>
      <c r="O157" s="13"/>
    </row>
    <row r="159" spans="1:15" ht="20.25" x14ac:dyDescent="0.3">
      <c r="A159" s="1" t="s">
        <v>200</v>
      </c>
      <c r="B159" s="1"/>
    </row>
    <row r="161" spans="1:15" x14ac:dyDescent="0.2">
      <c r="A161" s="2" t="s">
        <v>4</v>
      </c>
      <c r="B161" s="2" t="s">
        <v>5</v>
      </c>
      <c r="C161" s="2" t="s">
        <v>6</v>
      </c>
      <c r="D161" s="2" t="s">
        <v>7</v>
      </c>
      <c r="E161" s="2" t="s">
        <v>8</v>
      </c>
      <c r="F161" s="2" t="s">
        <v>9</v>
      </c>
      <c r="G161" s="63" t="s">
        <v>10</v>
      </c>
      <c r="H161" s="2" t="s">
        <v>11</v>
      </c>
      <c r="I161" s="2" t="s">
        <v>12</v>
      </c>
      <c r="J161" s="2" t="s">
        <v>13</v>
      </c>
      <c r="K161" s="2" t="s">
        <v>14</v>
      </c>
      <c r="L161" s="2" t="s">
        <v>15</v>
      </c>
      <c r="M161" s="2" t="s">
        <v>16</v>
      </c>
      <c r="N161" s="2" t="s">
        <v>17</v>
      </c>
      <c r="O161" s="6"/>
    </row>
    <row r="162" spans="1:15" x14ac:dyDescent="0.2">
      <c r="A162">
        <v>500</v>
      </c>
      <c r="B162" t="s">
        <v>125</v>
      </c>
      <c r="C162" s="48" t="s">
        <v>813</v>
      </c>
      <c r="D162" s="48" t="s">
        <v>814</v>
      </c>
      <c r="E162" s="48" t="s">
        <v>579</v>
      </c>
      <c r="F162" s="29" t="s">
        <v>243</v>
      </c>
      <c r="G162" s="64" t="s">
        <v>201</v>
      </c>
      <c r="H162">
        <v>2</v>
      </c>
      <c r="I162" t="s">
        <v>24</v>
      </c>
      <c r="J162" s="3"/>
      <c r="K162" s="3">
        <v>229</v>
      </c>
      <c r="L162" s="3">
        <f t="shared" ref="L162:L168" si="23">(K162+J162)*0.1</f>
        <v>22.900000000000002</v>
      </c>
      <c r="N162" s="4">
        <f t="shared" ref="N162:N178" si="24">M162*(L162+K162*$K$34+J162)</f>
        <v>0</v>
      </c>
      <c r="O162" s="4"/>
    </row>
    <row r="163" spans="1:15" x14ac:dyDescent="0.2">
      <c r="A163">
        <v>500</v>
      </c>
      <c r="B163" t="s">
        <v>125</v>
      </c>
      <c r="C163" s="48" t="s">
        <v>813</v>
      </c>
      <c r="D163" s="48" t="s">
        <v>811</v>
      </c>
      <c r="E163" s="48" t="s">
        <v>579</v>
      </c>
      <c r="F163" s="48" t="s">
        <v>811</v>
      </c>
      <c r="G163" s="64" t="s">
        <v>812</v>
      </c>
      <c r="H163">
        <v>2</v>
      </c>
      <c r="I163" t="s">
        <v>24</v>
      </c>
      <c r="J163" s="3">
        <f>460/6</f>
        <v>76.666666666666671</v>
      </c>
      <c r="K163" s="3"/>
      <c r="L163" s="3">
        <v>25</v>
      </c>
      <c r="N163" s="4">
        <f t="shared" ref="N163" si="25">M163*(L163+K163*$K$34+J163)</f>
        <v>0</v>
      </c>
      <c r="O163" s="4"/>
    </row>
    <row r="164" spans="1:15" x14ac:dyDescent="0.2">
      <c r="A164">
        <v>500</v>
      </c>
      <c r="B164" t="s">
        <v>125</v>
      </c>
      <c r="C164" s="48" t="s">
        <v>813</v>
      </c>
      <c r="D164" s="48" t="s">
        <v>815</v>
      </c>
      <c r="E164" s="48" t="s">
        <v>579</v>
      </c>
      <c r="F164" s="48" t="s">
        <v>816</v>
      </c>
      <c r="G164" s="64" t="s">
        <v>817</v>
      </c>
      <c r="H164">
        <v>2</v>
      </c>
      <c r="I164" t="s">
        <v>24</v>
      </c>
      <c r="J164" s="3">
        <v>105</v>
      </c>
      <c r="K164" s="3"/>
      <c r="L164" s="3">
        <f t="shared" ref="L164" si="26">(K164+J164)*0.1</f>
        <v>10.5</v>
      </c>
      <c r="M164">
        <v>1</v>
      </c>
      <c r="N164" s="4">
        <f t="shared" ref="N164" si="27">M164*(L164+K164*$K$34+J164)</f>
        <v>115.5</v>
      </c>
      <c r="O164" s="4"/>
    </row>
    <row r="165" spans="1:15" x14ac:dyDescent="0.2">
      <c r="A165">
        <f>A162+1</f>
        <v>501</v>
      </c>
      <c r="B165" t="s">
        <v>125</v>
      </c>
      <c r="C165" t="s">
        <v>202</v>
      </c>
      <c r="D165" s="48" t="s">
        <v>580</v>
      </c>
      <c r="E165" s="48" t="s">
        <v>581</v>
      </c>
      <c r="F165" s="29" t="s">
        <v>217</v>
      </c>
      <c r="G165" s="60" t="s">
        <v>231</v>
      </c>
      <c r="H165">
        <v>1</v>
      </c>
      <c r="I165" t="s">
        <v>24</v>
      </c>
      <c r="J165" s="3">
        <v>47</v>
      </c>
      <c r="K165" s="3"/>
      <c r="L165" s="3">
        <f t="shared" si="23"/>
        <v>4.7</v>
      </c>
      <c r="M165">
        <v>1</v>
      </c>
      <c r="N165" s="4">
        <f t="shared" si="24"/>
        <v>51.7</v>
      </c>
      <c r="O165" s="4"/>
    </row>
    <row r="166" spans="1:15" x14ac:dyDescent="0.2">
      <c r="A166">
        <f>A165+1</f>
        <v>502</v>
      </c>
      <c r="B166" t="s">
        <v>125</v>
      </c>
      <c r="C166" s="48" t="s">
        <v>575</v>
      </c>
      <c r="D166" s="48" t="s">
        <v>576</v>
      </c>
      <c r="E166" s="48" t="s">
        <v>577</v>
      </c>
      <c r="F166" s="48" t="s">
        <v>181</v>
      </c>
      <c r="G166" s="139" t="s">
        <v>578</v>
      </c>
      <c r="H166">
        <v>4</v>
      </c>
      <c r="I166" t="s">
        <v>24</v>
      </c>
      <c r="J166" s="3">
        <f>'PCB - BOM'!Q160</f>
        <v>19.71</v>
      </c>
      <c r="K166" s="3"/>
      <c r="L166" s="3">
        <f t="shared" si="23"/>
        <v>1.9710000000000001</v>
      </c>
      <c r="M166">
        <v>1</v>
      </c>
      <c r="N166" s="4">
        <f t="shared" si="24"/>
        <v>21.681000000000001</v>
      </c>
      <c r="O166" s="4"/>
    </row>
    <row r="167" spans="1:15" x14ac:dyDescent="0.2">
      <c r="A167">
        <f>A166+1</f>
        <v>503</v>
      </c>
      <c r="B167" t="s">
        <v>125</v>
      </c>
      <c r="C167" t="s">
        <v>196</v>
      </c>
      <c r="D167" s="29" t="s">
        <v>256</v>
      </c>
      <c r="E167" s="48" t="s">
        <v>581</v>
      </c>
      <c r="F167" t="s">
        <v>193</v>
      </c>
      <c r="G167" s="60" t="s">
        <v>248</v>
      </c>
      <c r="H167">
        <v>4</v>
      </c>
      <c r="I167" t="s">
        <v>24</v>
      </c>
      <c r="J167" s="3">
        <v>38</v>
      </c>
      <c r="K167" s="3"/>
      <c r="L167" s="3">
        <f t="shared" si="23"/>
        <v>3.8000000000000003</v>
      </c>
      <c r="M167">
        <v>2</v>
      </c>
      <c r="N167" s="4">
        <f t="shared" si="24"/>
        <v>83.6</v>
      </c>
      <c r="O167" s="4"/>
    </row>
    <row r="168" spans="1:15" x14ac:dyDescent="0.2">
      <c r="A168">
        <f t="shared" ref="A168:A176" si="28">A167+1</f>
        <v>504</v>
      </c>
      <c r="B168" t="s">
        <v>125</v>
      </c>
      <c r="C168" s="29" t="s">
        <v>253</v>
      </c>
      <c r="D168" s="29" t="s">
        <v>254</v>
      </c>
      <c r="E168" s="48" t="s">
        <v>581</v>
      </c>
      <c r="F168" t="s">
        <v>193</v>
      </c>
      <c r="G168" s="67" t="s">
        <v>257</v>
      </c>
      <c r="H168">
        <v>4</v>
      </c>
      <c r="I168" t="s">
        <v>24</v>
      </c>
      <c r="J168" s="3">
        <v>3</v>
      </c>
      <c r="K168" s="3"/>
      <c r="L168" s="3">
        <f t="shared" si="23"/>
        <v>0.30000000000000004</v>
      </c>
      <c r="M168">
        <v>2</v>
      </c>
      <c r="N168" s="4">
        <f t="shared" si="24"/>
        <v>6.6</v>
      </c>
      <c r="O168" s="4"/>
    </row>
    <row r="169" spans="1:15" x14ac:dyDescent="0.2">
      <c r="A169">
        <f t="shared" si="28"/>
        <v>505</v>
      </c>
      <c r="B169" t="s">
        <v>125</v>
      </c>
      <c r="C169" t="s">
        <v>124</v>
      </c>
      <c r="D169" t="s">
        <v>124</v>
      </c>
      <c r="E169" s="48" t="s">
        <v>581</v>
      </c>
      <c r="F169" t="s">
        <v>31</v>
      </c>
      <c r="G169" s="60"/>
      <c r="H169">
        <v>2</v>
      </c>
      <c r="I169" t="s">
        <v>24</v>
      </c>
      <c r="J169" s="3">
        <v>10</v>
      </c>
      <c r="K169" s="3"/>
      <c r="L169" s="3">
        <v>0</v>
      </c>
      <c r="M169">
        <v>1</v>
      </c>
      <c r="N169" s="4">
        <f t="shared" si="24"/>
        <v>10</v>
      </c>
      <c r="O169" s="4"/>
    </row>
    <row r="170" spans="1:15" x14ac:dyDescent="0.2">
      <c r="A170">
        <f t="shared" si="28"/>
        <v>506</v>
      </c>
      <c r="B170" t="s">
        <v>125</v>
      </c>
      <c r="C170" s="48" t="s">
        <v>818</v>
      </c>
      <c r="D170" t="s">
        <v>124</v>
      </c>
      <c r="E170" s="48" t="s">
        <v>581</v>
      </c>
      <c r="F170" s="52" t="s">
        <v>798</v>
      </c>
      <c r="G170" s="139"/>
      <c r="H170">
        <v>2</v>
      </c>
      <c r="I170" t="s">
        <v>24</v>
      </c>
      <c r="J170" s="3">
        <v>15</v>
      </c>
      <c r="K170" s="3"/>
      <c r="L170" s="3">
        <v>0</v>
      </c>
      <c r="M170">
        <v>2</v>
      </c>
      <c r="N170" s="4">
        <f t="shared" si="24"/>
        <v>30</v>
      </c>
      <c r="O170" s="4"/>
    </row>
    <row r="171" spans="1:15" x14ac:dyDescent="0.2">
      <c r="A171">
        <f t="shared" si="28"/>
        <v>507</v>
      </c>
      <c r="B171" t="s">
        <v>125</v>
      </c>
      <c r="C171" t="s">
        <v>126</v>
      </c>
      <c r="D171" s="29" t="s">
        <v>348</v>
      </c>
      <c r="E171" s="48" t="s">
        <v>581</v>
      </c>
      <c r="F171" s="29" t="s">
        <v>243</v>
      </c>
      <c r="G171" s="60" t="s">
        <v>351</v>
      </c>
      <c r="H171">
        <v>1</v>
      </c>
      <c r="I171" t="s">
        <v>24</v>
      </c>
      <c r="J171" s="3">
        <v>5</v>
      </c>
      <c r="K171" s="3"/>
      <c r="L171" s="3">
        <v>0</v>
      </c>
      <c r="M171">
        <v>1</v>
      </c>
      <c r="N171" s="4">
        <f t="shared" si="24"/>
        <v>5</v>
      </c>
      <c r="O171" s="4"/>
    </row>
    <row r="172" spans="1:15" x14ac:dyDescent="0.2">
      <c r="A172">
        <f t="shared" si="28"/>
        <v>508</v>
      </c>
      <c r="B172" t="s">
        <v>125</v>
      </c>
      <c r="C172" t="s">
        <v>197</v>
      </c>
      <c r="D172" s="29" t="s">
        <v>352</v>
      </c>
      <c r="E172" s="48" t="s">
        <v>581</v>
      </c>
      <c r="F172" s="29" t="s">
        <v>271</v>
      </c>
      <c r="H172">
        <v>1</v>
      </c>
      <c r="I172" t="s">
        <v>24</v>
      </c>
      <c r="J172" s="3">
        <v>6.5</v>
      </c>
      <c r="K172" s="3"/>
      <c r="L172" s="3">
        <f>(K172+J172)*0.1</f>
        <v>0.65</v>
      </c>
      <c r="M172">
        <v>1</v>
      </c>
      <c r="N172" s="4">
        <f t="shared" si="24"/>
        <v>7.15</v>
      </c>
      <c r="O172" s="4"/>
    </row>
    <row r="173" spans="1:15" x14ac:dyDescent="0.2">
      <c r="A173">
        <f t="shared" si="28"/>
        <v>509</v>
      </c>
      <c r="B173" t="s">
        <v>125</v>
      </c>
      <c r="C173" s="29" t="s">
        <v>353</v>
      </c>
      <c r="D173" s="29" t="s">
        <v>356</v>
      </c>
      <c r="E173" s="48" t="s">
        <v>581</v>
      </c>
      <c r="F173" s="48" t="s">
        <v>819</v>
      </c>
      <c r="H173">
        <v>1</v>
      </c>
      <c r="I173" t="s">
        <v>24</v>
      </c>
      <c r="J173" s="3">
        <v>1.5</v>
      </c>
      <c r="K173" s="3"/>
      <c r="L173" s="3">
        <v>0</v>
      </c>
      <c r="M173">
        <v>1</v>
      </c>
      <c r="N173" s="4">
        <f t="shared" si="24"/>
        <v>1.5</v>
      </c>
      <c r="O173" s="4"/>
    </row>
    <row r="174" spans="1:15" x14ac:dyDescent="0.2">
      <c r="A174">
        <f t="shared" si="28"/>
        <v>510</v>
      </c>
      <c r="B174" t="s">
        <v>125</v>
      </c>
      <c r="C174" s="29" t="s">
        <v>353</v>
      </c>
      <c r="D174" s="29" t="s">
        <v>357</v>
      </c>
      <c r="E174" s="48" t="s">
        <v>581</v>
      </c>
      <c r="F174" s="48" t="s">
        <v>819</v>
      </c>
      <c r="H174">
        <v>1</v>
      </c>
      <c r="I174" t="s">
        <v>24</v>
      </c>
      <c r="J174" s="3">
        <v>1</v>
      </c>
      <c r="K174" s="3"/>
      <c r="L174" s="3">
        <v>0</v>
      </c>
      <c r="M174">
        <v>0</v>
      </c>
      <c r="N174" s="4">
        <f t="shared" si="24"/>
        <v>0</v>
      </c>
      <c r="O174" s="4"/>
    </row>
    <row r="175" spans="1:15" x14ac:dyDescent="0.2">
      <c r="A175">
        <f t="shared" si="28"/>
        <v>511</v>
      </c>
      <c r="B175" t="s">
        <v>125</v>
      </c>
      <c r="C175" s="29" t="s">
        <v>353</v>
      </c>
      <c r="D175" s="29" t="s">
        <v>355</v>
      </c>
      <c r="E175" s="48" t="s">
        <v>581</v>
      </c>
      <c r="F175" s="48" t="s">
        <v>819</v>
      </c>
      <c r="H175">
        <v>1</v>
      </c>
      <c r="I175" t="s">
        <v>24</v>
      </c>
      <c r="J175" s="3">
        <v>1.5</v>
      </c>
      <c r="K175" s="3"/>
      <c r="L175" s="3">
        <v>0</v>
      </c>
      <c r="M175">
        <v>1</v>
      </c>
      <c r="N175" s="4">
        <f t="shared" si="24"/>
        <v>1.5</v>
      </c>
      <c r="O175" s="4"/>
    </row>
    <row r="176" spans="1:15" x14ac:dyDescent="0.2">
      <c r="A176">
        <f t="shared" si="28"/>
        <v>512</v>
      </c>
      <c r="B176" t="s">
        <v>125</v>
      </c>
      <c r="C176" s="29" t="s">
        <v>353</v>
      </c>
      <c r="D176" s="29" t="s">
        <v>354</v>
      </c>
      <c r="E176" s="48" t="s">
        <v>581</v>
      </c>
      <c r="F176" s="48" t="s">
        <v>819</v>
      </c>
      <c r="H176">
        <v>1</v>
      </c>
      <c r="I176" t="s">
        <v>24</v>
      </c>
      <c r="J176" s="3">
        <v>0.7</v>
      </c>
      <c r="K176" s="3"/>
      <c r="L176" s="3">
        <v>0</v>
      </c>
      <c r="M176">
        <v>0</v>
      </c>
      <c r="N176" s="4">
        <f t="shared" si="24"/>
        <v>0</v>
      </c>
      <c r="O176" s="4"/>
    </row>
    <row r="177" spans="1:15" x14ac:dyDescent="0.2">
      <c r="A177">
        <v>547</v>
      </c>
      <c r="B177" t="s">
        <v>125</v>
      </c>
      <c r="C177" s="6" t="s">
        <v>42</v>
      </c>
      <c r="F177" t="s">
        <v>31</v>
      </c>
      <c r="H177">
        <v>2</v>
      </c>
      <c r="I177" t="s">
        <v>28</v>
      </c>
      <c r="J177" s="3"/>
      <c r="K177" s="3"/>
      <c r="L177" s="3">
        <v>0</v>
      </c>
      <c r="M177">
        <v>1</v>
      </c>
      <c r="N177" s="4">
        <f t="shared" si="24"/>
        <v>0</v>
      </c>
      <c r="O177" s="4"/>
    </row>
    <row r="178" spans="1:15" x14ac:dyDescent="0.2">
      <c r="A178">
        <v>548</v>
      </c>
      <c r="B178" t="s">
        <v>125</v>
      </c>
      <c r="C178" s="2" t="s">
        <v>43</v>
      </c>
      <c r="D178" s="9"/>
      <c r="E178" s="9"/>
      <c r="F178" s="9"/>
      <c r="G178" s="49"/>
      <c r="H178" s="9">
        <v>2</v>
      </c>
      <c r="I178" s="9" t="s">
        <v>28</v>
      </c>
      <c r="J178" s="11"/>
      <c r="K178" s="11"/>
      <c r="L178" s="11">
        <v>0</v>
      </c>
      <c r="M178" s="9">
        <v>1</v>
      </c>
      <c r="N178" s="12">
        <f t="shared" si="24"/>
        <v>0</v>
      </c>
      <c r="O178" s="12"/>
    </row>
    <row r="179" spans="1:15" x14ac:dyDescent="0.2">
      <c r="A179">
        <v>549</v>
      </c>
      <c r="B179" t="s">
        <v>125</v>
      </c>
      <c r="C179" s="35" t="s">
        <v>236</v>
      </c>
      <c r="J179" s="3"/>
      <c r="K179" s="3"/>
      <c r="L179" s="3"/>
      <c r="N179" s="7">
        <f>SUM(N162:N178)</f>
        <v>334.23099999999999</v>
      </c>
      <c r="O179" s="7"/>
    </row>
    <row r="180" spans="1:15" ht="15.75" x14ac:dyDescent="0.25">
      <c r="B180" s="9"/>
      <c r="C180" s="9" t="s">
        <v>45</v>
      </c>
      <c r="D180" s="9"/>
      <c r="E180" s="9"/>
      <c r="F180" s="9"/>
      <c r="G180" s="49"/>
      <c r="H180" s="9"/>
      <c r="I180" s="9"/>
      <c r="J180" s="44"/>
      <c r="K180" s="83"/>
      <c r="L180" s="82" t="s">
        <v>322</v>
      </c>
      <c r="M180" s="9"/>
      <c r="N180" s="77">
        <v>450</v>
      </c>
      <c r="O180" s="13"/>
    </row>
    <row r="182" spans="1:15" ht="20.25" x14ac:dyDescent="0.3">
      <c r="A182" s="26" t="s">
        <v>232</v>
      </c>
      <c r="B182" s="1"/>
      <c r="N182" s="211"/>
    </row>
    <row r="184" spans="1:15" x14ac:dyDescent="0.2">
      <c r="A184" s="2" t="s">
        <v>4</v>
      </c>
      <c r="B184" s="2" t="s">
        <v>5</v>
      </c>
      <c r="C184" s="2" t="s">
        <v>6</v>
      </c>
      <c r="D184" s="2" t="s">
        <v>7</v>
      </c>
      <c r="E184" s="2" t="s">
        <v>8</v>
      </c>
      <c r="F184" s="2" t="s">
        <v>9</v>
      </c>
      <c r="G184" s="63" t="s">
        <v>10</v>
      </c>
      <c r="H184" s="2" t="s">
        <v>11</v>
      </c>
      <c r="I184" s="2" t="s">
        <v>12</v>
      </c>
      <c r="J184" s="2" t="s">
        <v>13</v>
      </c>
      <c r="K184" s="2" t="s">
        <v>14</v>
      </c>
      <c r="L184" s="2" t="s">
        <v>15</v>
      </c>
      <c r="M184" s="2" t="s">
        <v>16</v>
      </c>
      <c r="N184" s="2" t="s">
        <v>17</v>
      </c>
      <c r="O184" s="2"/>
    </row>
    <row r="185" spans="1:15" x14ac:dyDescent="0.2">
      <c r="A185">
        <v>600</v>
      </c>
      <c r="B185" t="s">
        <v>419</v>
      </c>
      <c r="C185" t="s">
        <v>1</v>
      </c>
      <c r="D185" t="s">
        <v>797</v>
      </c>
      <c r="F185" t="s">
        <v>796</v>
      </c>
      <c r="G185" s="21" t="s">
        <v>795</v>
      </c>
      <c r="H185">
        <v>2</v>
      </c>
      <c r="I185" t="s">
        <v>24</v>
      </c>
      <c r="J185" s="3">
        <v>155</v>
      </c>
      <c r="L185" s="3"/>
      <c r="M185">
        <v>1</v>
      </c>
      <c r="N185" s="4">
        <f>M185*(L185+K185*$K$34+J185)</f>
        <v>155</v>
      </c>
      <c r="O185" s="4"/>
    </row>
    <row r="186" spans="1:15" x14ac:dyDescent="0.2">
      <c r="A186">
        <v>601</v>
      </c>
      <c r="B186" t="s">
        <v>419</v>
      </c>
      <c r="C186" s="29" t="s">
        <v>252</v>
      </c>
      <c r="D186" s="29" t="s">
        <v>255</v>
      </c>
      <c r="E186" t="s">
        <v>27</v>
      </c>
      <c r="F186" t="s">
        <v>193</v>
      </c>
      <c r="G186" s="60" t="s">
        <v>249</v>
      </c>
      <c r="H186">
        <v>2</v>
      </c>
      <c r="I186" t="s">
        <v>24</v>
      </c>
      <c r="J186" s="3">
        <v>25</v>
      </c>
      <c r="K186" s="3"/>
      <c r="L186" s="3">
        <f>(K186+J186)*0.1</f>
        <v>2.5</v>
      </c>
      <c r="M186">
        <v>1</v>
      </c>
      <c r="N186" s="4">
        <f>M186*(L186+K186*$K$34+J186)</f>
        <v>27.5</v>
      </c>
      <c r="O186" s="4"/>
    </row>
    <row r="187" spans="1:15" x14ac:dyDescent="0.2">
      <c r="A187">
        <v>697</v>
      </c>
      <c r="B187" t="s">
        <v>419</v>
      </c>
      <c r="C187" s="6" t="s">
        <v>42</v>
      </c>
      <c r="F187" t="s">
        <v>31</v>
      </c>
      <c r="H187">
        <v>2</v>
      </c>
      <c r="I187" t="s">
        <v>28</v>
      </c>
      <c r="J187" s="3"/>
      <c r="K187" s="3"/>
      <c r="L187" s="3">
        <v>0</v>
      </c>
      <c r="M187">
        <v>1</v>
      </c>
      <c r="N187" s="4">
        <f>M187*(L187+K187*$K$34+J187)</f>
        <v>0</v>
      </c>
      <c r="O187" s="4"/>
    </row>
    <row r="188" spans="1:15" x14ac:dyDescent="0.2">
      <c r="A188">
        <v>698</v>
      </c>
      <c r="B188" t="s">
        <v>419</v>
      </c>
      <c r="C188" s="2" t="s">
        <v>43</v>
      </c>
      <c r="D188" s="9"/>
      <c r="E188" s="9"/>
      <c r="F188" s="9"/>
      <c r="G188" s="49"/>
      <c r="H188" s="9">
        <v>2</v>
      </c>
      <c r="I188" s="9" t="s">
        <v>28</v>
      </c>
      <c r="J188" s="11"/>
      <c r="K188" s="11"/>
      <c r="L188" s="11">
        <v>0</v>
      </c>
      <c r="M188" s="9">
        <v>1</v>
      </c>
      <c r="N188" s="12">
        <f>M188*(L188+K188*$K$34+J188)</f>
        <v>0</v>
      </c>
      <c r="O188" s="12"/>
    </row>
    <row r="189" spans="1:15" x14ac:dyDescent="0.2">
      <c r="A189">
        <v>699</v>
      </c>
      <c r="B189" t="s">
        <v>419</v>
      </c>
      <c r="C189" s="35" t="s">
        <v>235</v>
      </c>
      <c r="J189" s="3"/>
      <c r="K189" s="3"/>
      <c r="L189" s="3"/>
      <c r="N189" s="7">
        <f>SUM(N185:N188)</f>
        <v>182.5</v>
      </c>
      <c r="O189" s="7"/>
    </row>
    <row r="190" spans="1:15" ht="15.75" x14ac:dyDescent="0.25">
      <c r="C190" s="84" t="s">
        <v>45</v>
      </c>
      <c r="D190" s="85"/>
      <c r="E190" s="85"/>
      <c r="F190" s="85"/>
      <c r="G190" s="86"/>
      <c r="H190" s="85"/>
      <c r="I190" s="85"/>
      <c r="J190" s="87"/>
      <c r="K190" s="88"/>
      <c r="L190" s="82" t="s">
        <v>323</v>
      </c>
      <c r="M190" s="85"/>
      <c r="N190" s="77">
        <v>195</v>
      </c>
      <c r="O190" s="17"/>
    </row>
    <row r="192" spans="1:15" ht="20.25" x14ac:dyDescent="0.3">
      <c r="A192" s="26" t="s">
        <v>233</v>
      </c>
      <c r="B192" s="1"/>
    </row>
    <row r="194" spans="1:15" x14ac:dyDescent="0.2">
      <c r="A194" s="2" t="s">
        <v>4</v>
      </c>
      <c r="B194" s="2" t="s">
        <v>5</v>
      </c>
      <c r="C194" s="2" t="s">
        <v>6</v>
      </c>
      <c r="D194" s="2" t="s">
        <v>7</v>
      </c>
      <c r="E194" s="2" t="s">
        <v>8</v>
      </c>
      <c r="F194" s="2" t="s">
        <v>9</v>
      </c>
      <c r="G194" s="63" t="s">
        <v>10</v>
      </c>
      <c r="H194" s="2" t="s">
        <v>11</v>
      </c>
      <c r="I194" s="2" t="s">
        <v>12</v>
      </c>
      <c r="J194" s="2" t="s">
        <v>13</v>
      </c>
      <c r="K194" s="2" t="s">
        <v>14</v>
      </c>
      <c r="L194" s="2" t="s">
        <v>15</v>
      </c>
      <c r="M194" s="2" t="s">
        <v>16</v>
      </c>
      <c r="N194" s="2" t="s">
        <v>17</v>
      </c>
      <c r="O194" s="2"/>
    </row>
    <row r="195" spans="1:15" x14ac:dyDescent="0.2">
      <c r="A195">
        <v>700</v>
      </c>
      <c r="B195" t="s">
        <v>128</v>
      </c>
      <c r="C195" t="s">
        <v>35</v>
      </c>
      <c r="D195" t="s">
        <v>36</v>
      </c>
      <c r="E195" t="s">
        <v>127</v>
      </c>
      <c r="F195" t="s">
        <v>182</v>
      </c>
      <c r="G195" s="21" t="s">
        <v>37</v>
      </c>
      <c r="H195">
        <v>4</v>
      </c>
      <c r="I195" t="s">
        <v>24</v>
      </c>
      <c r="J195" s="3">
        <v>75</v>
      </c>
      <c r="K195" s="3"/>
      <c r="L195" s="3">
        <f>(K195+J195)*0.1</f>
        <v>7.5</v>
      </c>
      <c r="M195">
        <v>1</v>
      </c>
      <c r="N195" s="4">
        <f>M195*(L195+K195*$K$34+J195)</f>
        <v>82.5</v>
      </c>
      <c r="O195" s="4"/>
    </row>
    <row r="196" spans="1:15" x14ac:dyDescent="0.2">
      <c r="A196">
        <f>A195+1</f>
        <v>701</v>
      </c>
      <c r="B196" t="s">
        <v>128</v>
      </c>
      <c r="C196" t="s">
        <v>39</v>
      </c>
      <c r="D196" t="s">
        <v>39</v>
      </c>
      <c r="E196" t="s">
        <v>127</v>
      </c>
      <c r="F196" s="29" t="s">
        <v>242</v>
      </c>
      <c r="H196">
        <v>3</v>
      </c>
      <c r="I196" t="s">
        <v>24</v>
      </c>
      <c r="J196" s="3">
        <v>5</v>
      </c>
      <c r="K196" s="3"/>
      <c r="L196" s="3">
        <f>(K196+J196)*0.1</f>
        <v>0.5</v>
      </c>
      <c r="M196">
        <v>1</v>
      </c>
      <c r="N196" s="4">
        <f>M196*(L196+K196*$K$34+J196)</f>
        <v>5.5</v>
      </c>
      <c r="O196" s="4"/>
    </row>
    <row r="197" spans="1:15" x14ac:dyDescent="0.2">
      <c r="A197">
        <f>A196+1</f>
        <v>702</v>
      </c>
      <c r="B197" t="s">
        <v>128</v>
      </c>
      <c r="C197" t="s">
        <v>129</v>
      </c>
      <c r="D197" t="s">
        <v>129</v>
      </c>
      <c r="E197" t="s">
        <v>127</v>
      </c>
      <c r="F197" s="29" t="s">
        <v>242</v>
      </c>
      <c r="H197">
        <v>3</v>
      </c>
      <c r="I197" t="s">
        <v>24</v>
      </c>
      <c r="J197" s="3">
        <v>1</v>
      </c>
      <c r="K197" s="3"/>
      <c r="L197" s="3">
        <f>(K197+J197)*0.1</f>
        <v>0.1</v>
      </c>
      <c r="M197">
        <v>1</v>
      </c>
      <c r="N197" s="4">
        <f>M197*(L197+K197*$K$34+J197)</f>
        <v>1.1000000000000001</v>
      </c>
      <c r="O197" s="4"/>
    </row>
    <row r="198" spans="1:15" x14ac:dyDescent="0.2">
      <c r="A198">
        <v>797</v>
      </c>
      <c r="B198" t="s">
        <v>128</v>
      </c>
      <c r="C198" s="6" t="s">
        <v>42</v>
      </c>
      <c r="F198" t="s">
        <v>31</v>
      </c>
      <c r="H198">
        <v>2</v>
      </c>
      <c r="I198" t="s">
        <v>28</v>
      </c>
      <c r="J198" s="3">
        <v>10</v>
      </c>
      <c r="K198" s="3"/>
      <c r="L198" s="3">
        <v>0</v>
      </c>
      <c r="M198">
        <v>1</v>
      </c>
      <c r="N198" s="4">
        <f>M198*(L198+K198*$K$34+J198)</f>
        <v>10</v>
      </c>
      <c r="O198" s="4"/>
    </row>
    <row r="199" spans="1:15" x14ac:dyDescent="0.2">
      <c r="A199" s="9">
        <v>798</v>
      </c>
      <c r="B199" t="s">
        <v>128</v>
      </c>
      <c r="C199" s="2" t="s">
        <v>43</v>
      </c>
      <c r="D199" s="9"/>
      <c r="E199" s="9"/>
      <c r="F199" s="9"/>
      <c r="G199" s="49"/>
      <c r="H199" s="9">
        <v>2</v>
      </c>
      <c r="I199" s="9" t="s">
        <v>28</v>
      </c>
      <c r="J199" s="11">
        <v>15</v>
      </c>
      <c r="K199" s="11"/>
      <c r="L199" s="11">
        <v>0</v>
      </c>
      <c r="M199" s="9">
        <v>1</v>
      </c>
      <c r="N199" s="12">
        <f>M199*(L199+K199*$K$34+J199)</f>
        <v>15</v>
      </c>
      <c r="O199" s="12"/>
    </row>
    <row r="200" spans="1:15" x14ac:dyDescent="0.2">
      <c r="A200">
        <v>799</v>
      </c>
      <c r="B200" t="s">
        <v>128</v>
      </c>
      <c r="C200" s="35" t="s">
        <v>234</v>
      </c>
      <c r="J200" s="3"/>
      <c r="K200" s="3"/>
      <c r="L200" s="3"/>
      <c r="N200" s="7">
        <f>SUM(N195:N199)</f>
        <v>114.1</v>
      </c>
      <c r="O200" s="7"/>
    </row>
    <row r="201" spans="1:15" ht="15.75" x14ac:dyDescent="0.25">
      <c r="B201" s="9"/>
      <c r="C201" s="84" t="s">
        <v>45</v>
      </c>
      <c r="D201" s="85"/>
      <c r="E201" s="85"/>
      <c r="F201" s="85"/>
      <c r="G201" s="86"/>
      <c r="H201" s="85"/>
      <c r="I201" s="85"/>
      <c r="J201" s="87"/>
      <c r="K201" s="87"/>
      <c r="L201" s="87"/>
      <c r="M201" s="85"/>
      <c r="N201" s="77">
        <v>250</v>
      </c>
      <c r="O201" s="13"/>
    </row>
    <row r="202" spans="1:15" x14ac:dyDescent="0.2">
      <c r="C202" s="6"/>
      <c r="J202" s="3"/>
      <c r="K202" s="3"/>
      <c r="L202" s="3"/>
      <c r="N202" s="5"/>
      <c r="O202" s="5"/>
    </row>
    <row r="204" spans="1:15" x14ac:dyDescent="0.2">
      <c r="J204" s="3"/>
      <c r="K204" s="3"/>
      <c r="L204" s="3"/>
      <c r="N204" s="13"/>
      <c r="O204" s="13"/>
    </row>
    <row r="205" spans="1:15" ht="20.25" x14ac:dyDescent="0.3">
      <c r="A205" s="26" t="s">
        <v>324</v>
      </c>
      <c r="I205" s="71" t="s">
        <v>186</v>
      </c>
      <c r="K205" s="71">
        <v>1.39</v>
      </c>
    </row>
    <row r="206" spans="1:15" x14ac:dyDescent="0.2">
      <c r="A206" s="2" t="s">
        <v>4</v>
      </c>
      <c r="B206" s="2" t="s">
        <v>5</v>
      </c>
      <c r="C206" s="2" t="s">
        <v>6</v>
      </c>
      <c r="D206" s="2" t="s">
        <v>7</v>
      </c>
      <c r="E206" s="2" t="s">
        <v>8</v>
      </c>
      <c r="F206" s="2" t="s">
        <v>9</v>
      </c>
      <c r="G206" s="63" t="s">
        <v>10</v>
      </c>
      <c r="H206" s="2" t="s">
        <v>11</v>
      </c>
      <c r="I206" s="2" t="s">
        <v>12</v>
      </c>
      <c r="J206" s="2" t="s">
        <v>13</v>
      </c>
      <c r="K206" s="2" t="s">
        <v>14</v>
      </c>
      <c r="L206" s="2" t="s">
        <v>15</v>
      </c>
      <c r="M206" s="2" t="s">
        <v>16</v>
      </c>
      <c r="N206" s="2" t="s">
        <v>17</v>
      </c>
      <c r="O206" s="2"/>
    </row>
    <row r="207" spans="1:15" x14ac:dyDescent="0.2">
      <c r="A207">
        <v>100</v>
      </c>
      <c r="B207" t="s">
        <v>420</v>
      </c>
      <c r="C207" t="s">
        <v>183</v>
      </c>
      <c r="D207" t="s">
        <v>184</v>
      </c>
      <c r="E207" t="s">
        <v>23</v>
      </c>
      <c r="F207" t="s">
        <v>76</v>
      </c>
      <c r="G207" s="60" t="s">
        <v>187</v>
      </c>
      <c r="H207">
        <v>3</v>
      </c>
      <c r="I207" t="s">
        <v>24</v>
      </c>
      <c r="J207" s="3">
        <v>105</v>
      </c>
      <c r="K207" s="3"/>
      <c r="L207" s="3">
        <f>(K207+J207)*0.1</f>
        <v>10.5</v>
      </c>
      <c r="M207">
        <v>1</v>
      </c>
      <c r="N207" s="4">
        <f t="shared" ref="N207:N218" si="29">M207*(L207+K207*$K$34+J207)</f>
        <v>115.5</v>
      </c>
      <c r="O207" s="4"/>
    </row>
    <row r="208" spans="1:15" x14ac:dyDescent="0.2">
      <c r="A208">
        <f>A207+1</f>
        <v>101</v>
      </c>
      <c r="B208" t="s">
        <v>420</v>
      </c>
      <c r="C208" s="48" t="s">
        <v>432</v>
      </c>
      <c r="D208" s="29" t="s">
        <v>275</v>
      </c>
      <c r="E208" t="s">
        <v>30</v>
      </c>
      <c r="F208" t="s">
        <v>31</v>
      </c>
      <c r="G208" s="139" t="s">
        <v>431</v>
      </c>
      <c r="H208">
        <v>4</v>
      </c>
      <c r="I208" t="s">
        <v>24</v>
      </c>
      <c r="J208" s="3">
        <f>'PCB - BOM'!$Q$107</f>
        <v>280.45599999999996</v>
      </c>
      <c r="K208" s="3"/>
      <c r="L208" s="3">
        <v>0</v>
      </c>
      <c r="M208">
        <v>1</v>
      </c>
      <c r="N208" s="4">
        <f t="shared" si="29"/>
        <v>280.45599999999996</v>
      </c>
      <c r="O208" s="4"/>
    </row>
    <row r="209" spans="1:21" x14ac:dyDescent="0.2">
      <c r="A209">
        <f t="shared" ref="A209:A218" si="30">A208+1</f>
        <v>102</v>
      </c>
      <c r="B209" t="s">
        <v>420</v>
      </c>
      <c r="C209" s="29" t="s">
        <v>240</v>
      </c>
      <c r="D209" s="29" t="s">
        <v>262</v>
      </c>
      <c r="E209" t="s">
        <v>23</v>
      </c>
      <c r="F209" s="29" t="s">
        <v>271</v>
      </c>
      <c r="G209" s="60" t="s">
        <v>272</v>
      </c>
      <c r="H209">
        <v>10</v>
      </c>
      <c r="I209" t="s">
        <v>24</v>
      </c>
      <c r="J209" s="3">
        <v>75</v>
      </c>
      <c r="K209" s="3"/>
      <c r="L209" s="3">
        <f>(K209+J209)*0.1</f>
        <v>7.5</v>
      </c>
      <c r="M209">
        <v>1</v>
      </c>
      <c r="N209" s="4">
        <f t="shared" si="29"/>
        <v>82.5</v>
      </c>
      <c r="O209" s="4"/>
    </row>
    <row r="210" spans="1:21" x14ac:dyDescent="0.2">
      <c r="A210">
        <f t="shared" si="30"/>
        <v>103</v>
      </c>
      <c r="B210" t="s">
        <v>420</v>
      </c>
      <c r="C210" s="29" t="s">
        <v>225</v>
      </c>
      <c r="D210" t="s">
        <v>203</v>
      </c>
      <c r="E210" t="s">
        <v>27</v>
      </c>
      <c r="F210" t="s">
        <v>193</v>
      </c>
      <c r="G210" s="66" t="s">
        <v>251</v>
      </c>
      <c r="H210">
        <v>4</v>
      </c>
      <c r="I210" t="s">
        <v>24</v>
      </c>
      <c r="J210" s="3">
        <v>25</v>
      </c>
      <c r="K210" s="3"/>
      <c r="L210" s="3">
        <f t="shared" ref="L210:L213" si="31">(K210+J210)*0.1</f>
        <v>2.5</v>
      </c>
      <c r="M210">
        <v>1</v>
      </c>
      <c r="N210" s="4">
        <f t="shared" si="29"/>
        <v>27.5</v>
      </c>
      <c r="O210" s="4"/>
    </row>
    <row r="211" spans="1:21" x14ac:dyDescent="0.2">
      <c r="A211">
        <f t="shared" si="30"/>
        <v>104</v>
      </c>
      <c r="B211" t="s">
        <v>420</v>
      </c>
      <c r="C211" t="s">
        <v>57</v>
      </c>
      <c r="D211" t="s">
        <v>246</v>
      </c>
      <c r="E211" t="s">
        <v>50</v>
      </c>
      <c r="F211" t="s">
        <v>25</v>
      </c>
      <c r="H211">
        <v>4</v>
      </c>
      <c r="I211" t="s">
        <v>24</v>
      </c>
      <c r="J211" s="3">
        <v>15</v>
      </c>
      <c r="K211" s="3"/>
      <c r="L211" s="3">
        <f t="shared" si="31"/>
        <v>1.5</v>
      </c>
      <c r="M211">
        <v>1</v>
      </c>
      <c r="N211" s="4">
        <f t="shared" si="29"/>
        <v>16.5</v>
      </c>
      <c r="O211" s="4"/>
    </row>
    <row r="212" spans="1:21" x14ac:dyDescent="0.2">
      <c r="A212">
        <f t="shared" si="30"/>
        <v>105</v>
      </c>
      <c r="B212" t="s">
        <v>420</v>
      </c>
      <c r="C212" s="29" t="s">
        <v>252</v>
      </c>
      <c r="D212" s="29" t="s">
        <v>255</v>
      </c>
      <c r="E212" t="s">
        <v>27</v>
      </c>
      <c r="F212" t="s">
        <v>193</v>
      </c>
      <c r="G212" s="60" t="s">
        <v>249</v>
      </c>
      <c r="H212">
        <v>4</v>
      </c>
      <c r="I212" t="s">
        <v>24</v>
      </c>
      <c r="J212" s="3">
        <v>25</v>
      </c>
      <c r="K212" s="3"/>
      <c r="L212" s="3">
        <f t="shared" si="31"/>
        <v>2.5</v>
      </c>
      <c r="M212">
        <v>1</v>
      </c>
      <c r="N212" s="4">
        <f t="shared" si="29"/>
        <v>27.5</v>
      </c>
      <c r="O212" s="4"/>
    </row>
    <row r="213" spans="1:21" x14ac:dyDescent="0.2">
      <c r="A213">
        <f t="shared" si="30"/>
        <v>106</v>
      </c>
      <c r="B213" t="s">
        <v>420</v>
      </c>
      <c r="C213" s="29" t="s">
        <v>253</v>
      </c>
      <c r="D213" s="29" t="s">
        <v>254</v>
      </c>
      <c r="E213" t="s">
        <v>27</v>
      </c>
      <c r="F213" t="s">
        <v>193</v>
      </c>
      <c r="G213" s="67" t="s">
        <v>257</v>
      </c>
      <c r="H213">
        <v>4</v>
      </c>
      <c r="I213" t="s">
        <v>24</v>
      </c>
      <c r="J213" s="3">
        <v>3</v>
      </c>
      <c r="K213" s="3"/>
      <c r="L213" s="3">
        <f t="shared" si="31"/>
        <v>0.30000000000000004</v>
      </c>
      <c r="M213">
        <v>1</v>
      </c>
      <c r="N213" s="4">
        <f t="shared" si="29"/>
        <v>3.3</v>
      </c>
      <c r="O213" s="4"/>
    </row>
    <row r="214" spans="1:21" x14ac:dyDescent="0.2">
      <c r="A214">
        <f t="shared" si="30"/>
        <v>107</v>
      </c>
      <c r="B214" t="s">
        <v>420</v>
      </c>
      <c r="C214" s="29" t="s">
        <v>361</v>
      </c>
      <c r="D214" s="29" t="s">
        <v>362</v>
      </c>
      <c r="E214" t="s">
        <v>50</v>
      </c>
      <c r="F214" s="29" t="s">
        <v>199</v>
      </c>
      <c r="G214" s="21" t="s">
        <v>363</v>
      </c>
      <c r="H214">
        <v>1</v>
      </c>
      <c r="I214" t="s">
        <v>24</v>
      </c>
      <c r="J214" s="3">
        <v>0.5</v>
      </c>
      <c r="K214" s="3"/>
      <c r="L214" s="3">
        <f t="shared" ref="L214:L219" si="32">(K214+J214)*0.1</f>
        <v>0.05</v>
      </c>
      <c r="M214">
        <v>4</v>
      </c>
      <c r="N214" s="4">
        <f t="shared" si="29"/>
        <v>2.2000000000000002</v>
      </c>
      <c r="O214" s="4"/>
    </row>
    <row r="215" spans="1:21" x14ac:dyDescent="0.2">
      <c r="A215">
        <f t="shared" si="30"/>
        <v>108</v>
      </c>
      <c r="B215" t="s">
        <v>420</v>
      </c>
      <c r="C215" s="29" t="s">
        <v>368</v>
      </c>
      <c r="D215" s="29" t="s">
        <v>369</v>
      </c>
      <c r="E215" t="s">
        <v>50</v>
      </c>
      <c r="F215" s="29" t="s">
        <v>199</v>
      </c>
      <c r="G215" s="139" t="s">
        <v>458</v>
      </c>
      <c r="H215">
        <v>1</v>
      </c>
      <c r="I215" t="s">
        <v>24</v>
      </c>
      <c r="J215" s="3"/>
      <c r="K215" s="3">
        <v>3.24</v>
      </c>
      <c r="L215" s="3">
        <f t="shared" si="32"/>
        <v>0.32400000000000007</v>
      </c>
      <c r="M215">
        <v>1</v>
      </c>
      <c r="N215" s="4">
        <f t="shared" si="29"/>
        <v>4.8275999999999994</v>
      </c>
      <c r="O215" s="4"/>
    </row>
    <row r="216" spans="1:21" x14ac:dyDescent="0.2">
      <c r="A216">
        <f t="shared" si="30"/>
        <v>109</v>
      </c>
      <c r="B216" t="s">
        <v>420</v>
      </c>
      <c r="C216" s="29" t="s">
        <v>349</v>
      </c>
      <c r="D216" s="29" t="s">
        <v>348</v>
      </c>
      <c r="E216" t="s">
        <v>29</v>
      </c>
      <c r="F216" s="29" t="s">
        <v>273</v>
      </c>
      <c r="G216" s="60" t="s">
        <v>350</v>
      </c>
      <c r="H216">
        <v>1</v>
      </c>
      <c r="I216" t="s">
        <v>24</v>
      </c>
      <c r="J216" s="3">
        <v>0</v>
      </c>
      <c r="K216" s="3"/>
      <c r="L216" s="3">
        <f t="shared" si="32"/>
        <v>0</v>
      </c>
      <c r="M216">
        <v>2</v>
      </c>
      <c r="N216" s="4">
        <f t="shared" si="29"/>
        <v>0</v>
      </c>
      <c r="O216" s="4"/>
    </row>
    <row r="217" spans="1:21" x14ac:dyDescent="0.2">
      <c r="A217">
        <f t="shared" si="30"/>
        <v>110</v>
      </c>
      <c r="B217" t="s">
        <v>420</v>
      </c>
      <c r="C217" t="s">
        <v>32</v>
      </c>
      <c r="D217" t="s">
        <v>32</v>
      </c>
      <c r="E217" t="s">
        <v>30</v>
      </c>
      <c r="F217" t="s">
        <v>31</v>
      </c>
      <c r="H217">
        <v>2</v>
      </c>
      <c r="I217" t="s">
        <v>28</v>
      </c>
      <c r="J217" s="3">
        <v>4</v>
      </c>
      <c r="K217" s="3"/>
      <c r="L217" s="3">
        <f t="shared" si="32"/>
        <v>0.4</v>
      </c>
      <c r="M217">
        <v>1</v>
      </c>
      <c r="N217" s="4">
        <f t="shared" si="29"/>
        <v>4.4000000000000004</v>
      </c>
      <c r="O217" s="4"/>
    </row>
    <row r="218" spans="1:21" x14ac:dyDescent="0.2">
      <c r="A218">
        <f t="shared" si="30"/>
        <v>111</v>
      </c>
      <c r="B218" t="s">
        <v>420</v>
      </c>
      <c r="C218" t="s">
        <v>33</v>
      </c>
      <c r="D218" t="s">
        <v>33</v>
      </c>
      <c r="E218" t="s">
        <v>30</v>
      </c>
      <c r="F218" t="s">
        <v>31</v>
      </c>
      <c r="H218">
        <v>2</v>
      </c>
      <c r="I218" t="s">
        <v>28</v>
      </c>
      <c r="J218" s="3">
        <v>3</v>
      </c>
      <c r="K218" s="3"/>
      <c r="L218" s="3">
        <f t="shared" si="32"/>
        <v>0.30000000000000004</v>
      </c>
      <c r="M218">
        <v>1</v>
      </c>
      <c r="N218" s="4">
        <f t="shared" si="29"/>
        <v>3.3</v>
      </c>
      <c r="O218" s="4"/>
    </row>
    <row r="219" spans="1:21" x14ac:dyDescent="0.2">
      <c r="A219">
        <v>300</v>
      </c>
      <c r="B219" t="s">
        <v>420</v>
      </c>
      <c r="C219" t="s">
        <v>165</v>
      </c>
      <c r="D219" s="21" t="s">
        <v>164</v>
      </c>
      <c r="E219" s="29" t="s">
        <v>274</v>
      </c>
      <c r="F219" t="s">
        <v>166</v>
      </c>
      <c r="H219">
        <v>1</v>
      </c>
      <c r="I219" t="s">
        <v>24</v>
      </c>
      <c r="J219" s="46"/>
      <c r="K219" s="46">
        <v>40</v>
      </c>
      <c r="L219" s="46">
        <f t="shared" si="32"/>
        <v>4</v>
      </c>
      <c r="M219" s="101">
        <v>4</v>
      </c>
      <c r="N219" s="4">
        <f t="shared" ref="N219:N238" si="33">M219*(L219+K219*$K$34+J219)</f>
        <v>238.39999999999998</v>
      </c>
      <c r="Q219" s="29"/>
      <c r="R219" s="58">
        <f>J219</f>
        <v>0</v>
      </c>
      <c r="S219" s="44">
        <f>K219</f>
        <v>40</v>
      </c>
      <c r="T219" s="44">
        <f>L219</f>
        <v>4</v>
      </c>
      <c r="U219" s="44" t="e">
        <f>(T219+S219*#REF!+R219)*#REF!</f>
        <v>#REF!</v>
      </c>
    </row>
    <row r="220" spans="1:21" x14ac:dyDescent="0.2">
      <c r="A220">
        <f>+A219+1</f>
        <v>301</v>
      </c>
      <c r="B220" t="s">
        <v>420</v>
      </c>
      <c r="C220" t="s">
        <v>77</v>
      </c>
      <c r="D220" t="s">
        <v>78</v>
      </c>
      <c r="E220" t="s">
        <v>75</v>
      </c>
      <c r="F220" t="s">
        <v>25</v>
      </c>
      <c r="G220" s="21">
        <v>3213</v>
      </c>
      <c r="H220">
        <v>1</v>
      </c>
      <c r="I220" t="s">
        <v>24</v>
      </c>
      <c r="J220" s="3">
        <v>3</v>
      </c>
      <c r="K220" s="3"/>
      <c r="L220" s="3">
        <f t="shared" ref="L220:L225" si="34">(K220+J220)*0.1</f>
        <v>0.30000000000000004</v>
      </c>
      <c r="M220" s="20">
        <v>3</v>
      </c>
      <c r="N220" s="4">
        <f t="shared" si="33"/>
        <v>9.8999999999999986</v>
      </c>
      <c r="O220" s="4"/>
    </row>
    <row r="221" spans="1:21" x14ac:dyDescent="0.2">
      <c r="A221">
        <f t="shared" ref="A221:A236" si="35">+A220+1</f>
        <v>302</v>
      </c>
      <c r="B221" t="s">
        <v>420</v>
      </c>
      <c r="C221" t="s">
        <v>79</v>
      </c>
      <c r="D221" t="s">
        <v>80</v>
      </c>
      <c r="E221" t="s">
        <v>75</v>
      </c>
      <c r="F221" s="29" t="s">
        <v>199</v>
      </c>
      <c r="G221" s="69" t="s">
        <v>133</v>
      </c>
      <c r="H221">
        <v>1</v>
      </c>
      <c r="I221" t="s">
        <v>24</v>
      </c>
      <c r="J221" s="3">
        <v>2</v>
      </c>
      <c r="K221" s="3"/>
      <c r="L221" s="3">
        <f t="shared" si="34"/>
        <v>0.2</v>
      </c>
      <c r="M221">
        <v>1</v>
      </c>
      <c r="N221" s="4">
        <f t="shared" si="33"/>
        <v>2.2000000000000002</v>
      </c>
      <c r="O221" s="4"/>
    </row>
    <row r="222" spans="1:21" x14ac:dyDescent="0.2">
      <c r="A222">
        <f t="shared" si="35"/>
        <v>303</v>
      </c>
      <c r="B222" t="s">
        <v>420</v>
      </c>
      <c r="C222" t="s">
        <v>81</v>
      </c>
      <c r="D222" t="s">
        <v>80</v>
      </c>
      <c r="E222" t="s">
        <v>75</v>
      </c>
      <c r="F222" s="29" t="s">
        <v>199</v>
      </c>
      <c r="G222" s="21" t="s">
        <v>134</v>
      </c>
      <c r="H222">
        <v>1</v>
      </c>
      <c r="I222" t="s">
        <v>24</v>
      </c>
      <c r="J222" s="3">
        <v>2</v>
      </c>
      <c r="K222" s="3"/>
      <c r="L222" s="3">
        <f t="shared" si="34"/>
        <v>0.2</v>
      </c>
      <c r="M222">
        <v>2</v>
      </c>
      <c r="N222" s="4">
        <f t="shared" si="33"/>
        <v>4.4000000000000004</v>
      </c>
      <c r="O222" s="4"/>
    </row>
    <row r="223" spans="1:21" x14ac:dyDescent="0.2">
      <c r="A223">
        <f t="shared" si="35"/>
        <v>304</v>
      </c>
      <c r="B223" t="s">
        <v>420</v>
      </c>
      <c r="C223" t="s">
        <v>83</v>
      </c>
      <c r="D223" t="s">
        <v>84</v>
      </c>
      <c r="E223" t="s">
        <v>82</v>
      </c>
      <c r="F223" t="s">
        <v>195</v>
      </c>
      <c r="H223">
        <v>2</v>
      </c>
      <c r="I223" t="s">
        <v>28</v>
      </c>
      <c r="J223" s="3">
        <v>25</v>
      </c>
      <c r="L223" s="3">
        <f t="shared" si="34"/>
        <v>2.5</v>
      </c>
      <c r="M223">
        <v>1</v>
      </c>
      <c r="N223" s="4">
        <f t="shared" si="33"/>
        <v>27.5</v>
      </c>
      <c r="O223" s="4"/>
    </row>
    <row r="224" spans="1:21" x14ac:dyDescent="0.2">
      <c r="A224">
        <f t="shared" si="35"/>
        <v>305</v>
      </c>
      <c r="B224" t="s">
        <v>420</v>
      </c>
      <c r="C224" t="s">
        <v>137</v>
      </c>
      <c r="D224" t="s">
        <v>86</v>
      </c>
      <c r="E224" t="s">
        <v>82</v>
      </c>
      <c r="F224" t="s">
        <v>131</v>
      </c>
      <c r="G224" s="21" t="s">
        <v>136</v>
      </c>
      <c r="H224">
        <v>1</v>
      </c>
      <c r="I224" t="s">
        <v>24</v>
      </c>
      <c r="J224" s="3">
        <v>4</v>
      </c>
      <c r="L224" s="3">
        <f t="shared" si="34"/>
        <v>0.4</v>
      </c>
      <c r="M224">
        <v>1</v>
      </c>
      <c r="N224" s="4">
        <f t="shared" si="33"/>
        <v>4.4000000000000004</v>
      </c>
      <c r="O224" s="4"/>
    </row>
    <row r="225" spans="1:15" x14ac:dyDescent="0.2">
      <c r="A225">
        <f t="shared" si="35"/>
        <v>306</v>
      </c>
      <c r="B225" t="s">
        <v>420</v>
      </c>
      <c r="C225" t="s">
        <v>87</v>
      </c>
      <c r="D225" t="s">
        <v>88</v>
      </c>
      <c r="E225" t="s">
        <v>82</v>
      </c>
      <c r="F225" t="s">
        <v>62</v>
      </c>
      <c r="H225">
        <v>2</v>
      </c>
      <c r="I225" t="s">
        <v>28</v>
      </c>
      <c r="J225" s="3">
        <v>25</v>
      </c>
      <c r="L225" s="3">
        <f t="shared" si="34"/>
        <v>2.5</v>
      </c>
      <c r="M225">
        <v>1</v>
      </c>
      <c r="N225" s="4">
        <f t="shared" si="33"/>
        <v>27.5</v>
      </c>
      <c r="O225" s="4"/>
    </row>
    <row r="226" spans="1:15" x14ac:dyDescent="0.2">
      <c r="A226">
        <f t="shared" si="35"/>
        <v>307</v>
      </c>
      <c r="B226" t="s">
        <v>420</v>
      </c>
      <c r="C226" t="s">
        <v>100</v>
      </c>
      <c r="D226" t="s">
        <v>101</v>
      </c>
      <c r="E226" t="s">
        <v>82</v>
      </c>
      <c r="F226" t="s">
        <v>62</v>
      </c>
      <c r="H226">
        <v>2</v>
      </c>
      <c r="I226" t="s">
        <v>28</v>
      </c>
      <c r="J226" s="3">
        <v>85</v>
      </c>
      <c r="L226" s="3">
        <f>(K226+J226)*0.1</f>
        <v>8.5</v>
      </c>
      <c r="M226">
        <v>1</v>
      </c>
      <c r="N226" s="4">
        <f t="shared" si="33"/>
        <v>93.5</v>
      </c>
      <c r="O226" s="4"/>
    </row>
    <row r="227" spans="1:15" x14ac:dyDescent="0.2">
      <c r="A227">
        <f t="shared" si="35"/>
        <v>308</v>
      </c>
      <c r="B227" t="s">
        <v>420</v>
      </c>
      <c r="C227" t="s">
        <v>89</v>
      </c>
      <c r="D227" t="s">
        <v>90</v>
      </c>
      <c r="E227" t="s">
        <v>82</v>
      </c>
      <c r="F227" t="s">
        <v>91</v>
      </c>
      <c r="G227" s="21" t="s">
        <v>92</v>
      </c>
      <c r="H227">
        <v>2</v>
      </c>
      <c r="I227" t="s">
        <v>24</v>
      </c>
      <c r="J227" s="3">
        <v>2</v>
      </c>
      <c r="L227" s="3">
        <f t="shared" ref="L227:L236" si="36">(K227+J227)*0.1</f>
        <v>0.2</v>
      </c>
      <c r="M227">
        <v>2</v>
      </c>
      <c r="N227" s="4">
        <f t="shared" si="33"/>
        <v>4.4000000000000004</v>
      </c>
      <c r="O227" s="4"/>
    </row>
    <row r="228" spans="1:15" x14ac:dyDescent="0.2">
      <c r="A228">
        <f t="shared" si="35"/>
        <v>309</v>
      </c>
      <c r="B228" t="s">
        <v>420</v>
      </c>
      <c r="C228" t="s">
        <v>93</v>
      </c>
      <c r="D228" t="s">
        <v>94</v>
      </c>
      <c r="E228" t="s">
        <v>82</v>
      </c>
      <c r="F228" t="s">
        <v>95</v>
      </c>
      <c r="G228" s="21" t="s">
        <v>96</v>
      </c>
      <c r="H228">
        <v>2</v>
      </c>
      <c r="I228" t="s">
        <v>24</v>
      </c>
      <c r="J228" s="3">
        <v>2</v>
      </c>
      <c r="L228" s="3">
        <f t="shared" si="36"/>
        <v>0.2</v>
      </c>
      <c r="M228">
        <v>1</v>
      </c>
      <c r="N228" s="4">
        <f t="shared" si="33"/>
        <v>2.2000000000000002</v>
      </c>
      <c r="O228" s="4"/>
    </row>
    <row r="229" spans="1:15" x14ac:dyDescent="0.2">
      <c r="A229">
        <f t="shared" si="35"/>
        <v>310</v>
      </c>
      <c r="B229" t="s">
        <v>420</v>
      </c>
      <c r="C229" t="s">
        <v>97</v>
      </c>
      <c r="D229" t="s">
        <v>98</v>
      </c>
      <c r="E229" t="s">
        <v>82</v>
      </c>
      <c r="F229" t="s">
        <v>95</v>
      </c>
      <c r="G229" s="21" t="s">
        <v>99</v>
      </c>
      <c r="H229">
        <v>2</v>
      </c>
      <c r="I229" t="s">
        <v>24</v>
      </c>
      <c r="J229" s="3">
        <f>185.5/15</f>
        <v>12.366666666666667</v>
      </c>
      <c r="L229" s="3">
        <f t="shared" si="36"/>
        <v>1.2366666666666668</v>
      </c>
      <c r="M229">
        <v>1</v>
      </c>
      <c r="N229" s="4">
        <f t="shared" si="33"/>
        <v>13.603333333333333</v>
      </c>
      <c r="O229" s="4"/>
    </row>
    <row r="230" spans="1:15" x14ac:dyDescent="0.2">
      <c r="A230">
        <f t="shared" si="35"/>
        <v>311</v>
      </c>
      <c r="B230" t="s">
        <v>420</v>
      </c>
      <c r="C230" t="s">
        <v>102</v>
      </c>
      <c r="D230" t="s">
        <v>103</v>
      </c>
      <c r="E230" t="s">
        <v>82</v>
      </c>
      <c r="F230" s="29" t="s">
        <v>199</v>
      </c>
      <c r="G230" s="21" t="s">
        <v>104</v>
      </c>
      <c r="H230">
        <v>3</v>
      </c>
      <c r="I230" t="s">
        <v>24</v>
      </c>
      <c r="J230" s="3"/>
      <c r="K230" s="3">
        <v>10</v>
      </c>
      <c r="L230" s="3">
        <f t="shared" si="36"/>
        <v>1</v>
      </c>
      <c r="M230">
        <v>1</v>
      </c>
      <c r="N230" s="4">
        <f t="shared" si="33"/>
        <v>14.899999999999999</v>
      </c>
      <c r="O230" s="4"/>
    </row>
    <row r="231" spans="1:15" x14ac:dyDescent="0.2">
      <c r="A231">
        <f t="shared" si="35"/>
        <v>312</v>
      </c>
      <c r="B231" t="s">
        <v>420</v>
      </c>
      <c r="C231" t="s">
        <v>105</v>
      </c>
      <c r="D231" t="s">
        <v>106</v>
      </c>
      <c r="E231" t="s">
        <v>82</v>
      </c>
      <c r="F231" t="s">
        <v>107</v>
      </c>
      <c r="G231" s="21" t="s">
        <v>108</v>
      </c>
      <c r="H231">
        <v>3</v>
      </c>
      <c r="I231" t="s">
        <v>24</v>
      </c>
      <c r="J231" s="3"/>
      <c r="K231" s="3">
        <v>0.25</v>
      </c>
      <c r="L231" s="3">
        <f t="shared" si="36"/>
        <v>2.5000000000000001E-2</v>
      </c>
      <c r="M231">
        <v>4</v>
      </c>
      <c r="N231" s="4">
        <f t="shared" si="33"/>
        <v>1.49</v>
      </c>
      <c r="O231" s="4"/>
    </row>
    <row r="232" spans="1:15" x14ac:dyDescent="0.2">
      <c r="A232">
        <f t="shared" si="35"/>
        <v>313</v>
      </c>
      <c r="B232" t="s">
        <v>420</v>
      </c>
      <c r="C232" t="s">
        <v>109</v>
      </c>
      <c r="D232" t="s">
        <v>110</v>
      </c>
      <c r="E232" t="s">
        <v>82</v>
      </c>
      <c r="F232" t="s">
        <v>107</v>
      </c>
      <c r="G232" s="21" t="s">
        <v>111</v>
      </c>
      <c r="H232">
        <v>3</v>
      </c>
      <c r="I232" t="s">
        <v>24</v>
      </c>
      <c r="K232" s="3">
        <v>0.25</v>
      </c>
      <c r="L232" s="3">
        <f t="shared" si="36"/>
        <v>2.5000000000000001E-2</v>
      </c>
      <c r="M232">
        <v>2</v>
      </c>
      <c r="N232" s="4">
        <f t="shared" si="33"/>
        <v>0.745</v>
      </c>
      <c r="O232" s="4"/>
    </row>
    <row r="233" spans="1:15" x14ac:dyDescent="0.2">
      <c r="A233">
        <f t="shared" si="35"/>
        <v>314</v>
      </c>
      <c r="B233" t="s">
        <v>420</v>
      </c>
      <c r="C233" t="s">
        <v>112</v>
      </c>
      <c r="D233" t="s">
        <v>113</v>
      </c>
      <c r="E233" t="s">
        <v>82</v>
      </c>
      <c r="F233" t="s">
        <v>107</v>
      </c>
      <c r="G233" s="21" t="s">
        <v>114</v>
      </c>
      <c r="H233">
        <v>3</v>
      </c>
      <c r="I233" t="s">
        <v>24</v>
      </c>
      <c r="K233" s="3">
        <v>0.25</v>
      </c>
      <c r="L233" s="3">
        <f t="shared" si="36"/>
        <v>2.5000000000000001E-2</v>
      </c>
      <c r="M233">
        <v>2</v>
      </c>
      <c r="N233" s="4">
        <f t="shared" si="33"/>
        <v>0.745</v>
      </c>
      <c r="O233" s="4"/>
    </row>
    <row r="234" spans="1:15" x14ac:dyDescent="0.2">
      <c r="A234">
        <f t="shared" si="35"/>
        <v>315</v>
      </c>
      <c r="B234" t="s">
        <v>420</v>
      </c>
      <c r="C234" t="s">
        <v>115</v>
      </c>
      <c r="D234" t="s">
        <v>116</v>
      </c>
      <c r="E234" t="s">
        <v>82</v>
      </c>
      <c r="F234" t="s">
        <v>107</v>
      </c>
      <c r="G234" s="21" t="s">
        <v>117</v>
      </c>
      <c r="H234">
        <v>3</v>
      </c>
      <c r="I234" t="s">
        <v>24</v>
      </c>
      <c r="K234" s="3">
        <v>0.25</v>
      </c>
      <c r="L234" s="3">
        <f t="shared" si="36"/>
        <v>2.5000000000000001E-2</v>
      </c>
      <c r="M234">
        <v>2</v>
      </c>
      <c r="N234" s="4">
        <f t="shared" si="33"/>
        <v>0.745</v>
      </c>
      <c r="O234" s="4"/>
    </row>
    <row r="235" spans="1:15" x14ac:dyDescent="0.2">
      <c r="A235">
        <f t="shared" si="35"/>
        <v>316</v>
      </c>
      <c r="B235" t="s">
        <v>420</v>
      </c>
      <c r="C235" t="s">
        <v>118</v>
      </c>
      <c r="D235" t="s">
        <v>119</v>
      </c>
      <c r="E235" t="s">
        <v>82</v>
      </c>
      <c r="F235" t="s">
        <v>107</v>
      </c>
      <c r="G235" s="21" t="s">
        <v>120</v>
      </c>
      <c r="H235">
        <v>3</v>
      </c>
      <c r="I235" t="s">
        <v>24</v>
      </c>
      <c r="K235" s="3">
        <v>0.25</v>
      </c>
      <c r="L235" s="3">
        <f t="shared" si="36"/>
        <v>2.5000000000000001E-2</v>
      </c>
      <c r="M235">
        <v>2</v>
      </c>
      <c r="N235" s="4">
        <f t="shared" si="33"/>
        <v>0.745</v>
      </c>
      <c r="O235" s="4"/>
    </row>
    <row r="236" spans="1:15" x14ac:dyDescent="0.2">
      <c r="A236">
        <f t="shared" si="35"/>
        <v>317</v>
      </c>
      <c r="B236" t="s">
        <v>420</v>
      </c>
      <c r="C236" t="s">
        <v>121</v>
      </c>
      <c r="D236" t="s">
        <v>122</v>
      </c>
      <c r="E236" t="s">
        <v>82</v>
      </c>
      <c r="F236" t="s">
        <v>123</v>
      </c>
      <c r="H236">
        <v>1</v>
      </c>
      <c r="I236" t="s">
        <v>24</v>
      </c>
      <c r="J236" s="3">
        <v>0.1</v>
      </c>
      <c r="K236" s="3"/>
      <c r="L236" s="3">
        <f t="shared" si="36"/>
        <v>1.0000000000000002E-2</v>
      </c>
      <c r="M236" s="20">
        <v>1</v>
      </c>
      <c r="N236" s="4">
        <f t="shared" si="33"/>
        <v>0.11000000000000001</v>
      </c>
      <c r="O236" s="4"/>
    </row>
    <row r="237" spans="1:15" x14ac:dyDescent="0.2">
      <c r="A237">
        <v>197</v>
      </c>
      <c r="B237" t="s">
        <v>420</v>
      </c>
      <c r="C237" s="6" t="s">
        <v>42</v>
      </c>
      <c r="F237" t="s">
        <v>181</v>
      </c>
      <c r="H237">
        <v>2</v>
      </c>
      <c r="I237" t="s">
        <v>28</v>
      </c>
      <c r="J237" s="3">
        <v>200</v>
      </c>
      <c r="K237" s="3"/>
      <c r="L237" s="3">
        <v>0</v>
      </c>
      <c r="M237">
        <v>1</v>
      </c>
      <c r="N237" s="4">
        <f t="shared" si="33"/>
        <v>200</v>
      </c>
      <c r="O237" s="4"/>
    </row>
    <row r="238" spans="1:15" x14ac:dyDescent="0.2">
      <c r="A238">
        <v>198</v>
      </c>
      <c r="B238" t="s">
        <v>420</v>
      </c>
      <c r="C238" s="2" t="s">
        <v>43</v>
      </c>
      <c r="D238" s="9"/>
      <c r="E238" s="9"/>
      <c r="F238" s="9"/>
      <c r="G238" s="49"/>
      <c r="H238" s="9">
        <v>2</v>
      </c>
      <c r="I238" s="9" t="s">
        <v>28</v>
      </c>
      <c r="J238" s="11">
        <v>250</v>
      </c>
      <c r="K238" s="11"/>
      <c r="L238" s="11">
        <v>0</v>
      </c>
      <c r="M238" s="9">
        <v>1</v>
      </c>
      <c r="N238" s="4">
        <f t="shared" si="33"/>
        <v>250</v>
      </c>
      <c r="O238" s="4"/>
    </row>
    <row r="239" spans="1:15" x14ac:dyDescent="0.2">
      <c r="A239">
        <v>199</v>
      </c>
      <c r="B239" t="s">
        <v>420</v>
      </c>
      <c r="C239" s="35" t="s">
        <v>325</v>
      </c>
      <c r="J239" s="7"/>
      <c r="K239" s="3"/>
      <c r="L239" s="7"/>
      <c r="N239" s="5">
        <f>SUM(N207:N238)</f>
        <v>1465.4669333333331</v>
      </c>
      <c r="O239" s="7"/>
    </row>
    <row r="240" spans="1:15" x14ac:dyDescent="0.2">
      <c r="B240" s="9"/>
      <c r="C240" s="32" t="s">
        <v>317</v>
      </c>
      <c r="D240" s="9"/>
      <c r="E240" s="9"/>
      <c r="F240" s="9"/>
      <c r="G240" s="49"/>
      <c r="H240" s="9"/>
      <c r="I240" s="9"/>
      <c r="J240" s="11"/>
      <c r="K240" s="11"/>
      <c r="L240" s="11"/>
      <c r="M240" s="9"/>
      <c r="N240" s="12">
        <v>200</v>
      </c>
      <c r="O240" s="7"/>
    </row>
    <row r="241" spans="1:15" x14ac:dyDescent="0.2">
      <c r="C241" s="6" t="s">
        <v>604</v>
      </c>
      <c r="J241" s="3"/>
      <c r="K241" s="3"/>
      <c r="L241" s="3"/>
      <c r="N241" s="7">
        <f>N239+N240+N69</f>
        <v>3447.0819333333329</v>
      </c>
      <c r="O241" s="7"/>
    </row>
    <row r="242" spans="1:15" ht="15.75" x14ac:dyDescent="0.25">
      <c r="B242" s="9"/>
      <c r="C242" s="9" t="s">
        <v>45</v>
      </c>
      <c r="D242" s="9"/>
      <c r="E242" s="9"/>
      <c r="F242" s="9"/>
      <c r="G242" s="49"/>
      <c r="H242" s="9"/>
      <c r="I242" s="9"/>
      <c r="J242" s="11"/>
      <c r="K242" s="11"/>
      <c r="L242" s="82" t="s">
        <v>603</v>
      </c>
      <c r="M242" s="12"/>
      <c r="N242" s="77">
        <v>2990</v>
      </c>
      <c r="O242" s="13"/>
    </row>
    <row r="243" spans="1:15" x14ac:dyDescent="0.2">
      <c r="C243" s="6"/>
      <c r="J243" s="46"/>
      <c r="K243" s="46"/>
      <c r="L243" s="46"/>
      <c r="N243" s="4"/>
      <c r="O243" s="4"/>
    </row>
    <row r="244" spans="1:15" ht="20.25" x14ac:dyDescent="0.3">
      <c r="A244" s="1" t="s">
        <v>453</v>
      </c>
      <c r="B244" s="1"/>
    </row>
    <row r="246" spans="1:15" x14ac:dyDescent="0.2">
      <c r="A246" s="2" t="s">
        <v>4</v>
      </c>
      <c r="B246" s="2" t="s">
        <v>5</v>
      </c>
      <c r="C246" s="2" t="s">
        <v>6</v>
      </c>
      <c r="D246" s="2" t="s">
        <v>7</v>
      </c>
      <c r="E246" s="2" t="s">
        <v>8</v>
      </c>
      <c r="F246" s="2" t="s">
        <v>9</v>
      </c>
      <c r="G246" s="63" t="s">
        <v>10</v>
      </c>
      <c r="H246" s="2" t="s">
        <v>11</v>
      </c>
      <c r="I246" s="2" t="s">
        <v>12</v>
      </c>
      <c r="J246" s="2" t="s">
        <v>13</v>
      </c>
      <c r="K246" s="2" t="s">
        <v>14</v>
      </c>
      <c r="L246" s="2" t="s">
        <v>15</v>
      </c>
      <c r="M246" s="2" t="s">
        <v>16</v>
      </c>
      <c r="N246" s="2" t="s">
        <v>17</v>
      </c>
      <c r="O246" s="2"/>
    </row>
    <row r="247" spans="1:15" x14ac:dyDescent="0.2">
      <c r="B247" s="48" t="s">
        <v>452</v>
      </c>
      <c r="C247" t="s">
        <v>447</v>
      </c>
      <c r="D247" t="s">
        <v>446</v>
      </c>
      <c r="E247" t="s">
        <v>445</v>
      </c>
      <c r="F247" t="s">
        <v>444</v>
      </c>
      <c r="G247" s="21" t="s">
        <v>443</v>
      </c>
      <c r="H247">
        <v>3</v>
      </c>
      <c r="I247" t="s">
        <v>24</v>
      </c>
      <c r="J247" s="3">
        <v>20</v>
      </c>
      <c r="K247" s="3"/>
      <c r="L247" s="3">
        <f>(K247+J247)*0.1</f>
        <v>2</v>
      </c>
      <c r="M247">
        <v>2.2000000000000002</v>
      </c>
      <c r="N247" s="4">
        <f t="shared" ref="N247" si="37">M247*(L247+K247*$K$34+J247)</f>
        <v>48.400000000000006</v>
      </c>
      <c r="O247" s="4"/>
    </row>
    <row r="248" spans="1:15" x14ac:dyDescent="0.2">
      <c r="B248" s="48" t="s">
        <v>452</v>
      </c>
      <c r="C248" s="48" t="s">
        <v>450</v>
      </c>
      <c r="D248" s="48" t="s">
        <v>451</v>
      </c>
      <c r="E248" t="s">
        <v>448</v>
      </c>
      <c r="F248" t="s">
        <v>199</v>
      </c>
      <c r="G248" s="104" t="s">
        <v>449</v>
      </c>
      <c r="J248" s="3"/>
      <c r="K248" s="3">
        <v>15.25</v>
      </c>
      <c r="L248" s="3">
        <f>(K248+J248)*0.1</f>
        <v>1.5250000000000001</v>
      </c>
      <c r="M248">
        <v>2.2000000000000002</v>
      </c>
      <c r="N248" s="4">
        <f t="shared" ref="N248" si="38">M248*(L248+K248*$K$34+J248)</f>
        <v>49.9895</v>
      </c>
      <c r="O248" s="4"/>
    </row>
    <row r="249" spans="1:15" x14ac:dyDescent="0.2">
      <c r="B249" s="48" t="s">
        <v>452</v>
      </c>
      <c r="C249" s="48" t="s">
        <v>502</v>
      </c>
      <c r="G249" s="64"/>
      <c r="J249" s="3"/>
      <c r="K249" s="3"/>
      <c r="L249" s="3"/>
      <c r="N249" s="4"/>
      <c r="O249" s="4"/>
    </row>
    <row r="250" spans="1:15" x14ac:dyDescent="0.2">
      <c r="B250" s="48" t="s">
        <v>452</v>
      </c>
      <c r="C250" s="48" t="s">
        <v>503</v>
      </c>
      <c r="J250" s="3"/>
      <c r="K250" s="3"/>
      <c r="L250" s="3"/>
      <c r="N250" s="4"/>
      <c r="O250" s="4"/>
    </row>
    <row r="251" spans="1:15" x14ac:dyDescent="0.2">
      <c r="B251" s="48" t="s">
        <v>452</v>
      </c>
      <c r="C251" s="48" t="s">
        <v>504</v>
      </c>
      <c r="J251" s="3"/>
      <c r="K251" s="3"/>
      <c r="L251" s="3"/>
      <c r="N251" s="4"/>
      <c r="O251" s="4"/>
    </row>
    <row r="252" spans="1:15" x14ac:dyDescent="0.2">
      <c r="B252" s="48" t="s">
        <v>452</v>
      </c>
      <c r="C252" s="138" t="s">
        <v>501</v>
      </c>
      <c r="J252" s="3"/>
      <c r="K252" s="3"/>
      <c r="L252" s="3"/>
      <c r="N252" s="4"/>
      <c r="O252" s="4"/>
    </row>
    <row r="253" spans="1:15" x14ac:dyDescent="0.2">
      <c r="B253" s="48" t="s">
        <v>452</v>
      </c>
      <c r="C253" s="138" t="s">
        <v>510</v>
      </c>
      <c r="J253" s="3"/>
      <c r="K253" s="3"/>
      <c r="L253" s="3"/>
      <c r="N253" s="4"/>
      <c r="O253" s="4"/>
    </row>
    <row r="254" spans="1:15" x14ac:dyDescent="0.2">
      <c r="B254" s="48" t="s">
        <v>452</v>
      </c>
      <c r="C254" s="138" t="s">
        <v>499</v>
      </c>
      <c r="J254" s="3"/>
      <c r="K254" s="3"/>
      <c r="L254" s="3"/>
      <c r="N254" s="4"/>
      <c r="O254" s="4"/>
    </row>
    <row r="255" spans="1:15" x14ac:dyDescent="0.2">
      <c r="B255" s="48" t="s">
        <v>452</v>
      </c>
      <c r="C255" s="138" t="s">
        <v>500</v>
      </c>
      <c r="J255" s="3"/>
      <c r="K255" s="3"/>
      <c r="L255" s="3"/>
      <c r="N255" s="4"/>
      <c r="O255" s="4"/>
    </row>
    <row r="256" spans="1:15" x14ac:dyDescent="0.2">
      <c r="B256" s="48" t="s">
        <v>452</v>
      </c>
      <c r="C256" s="48" t="s">
        <v>454</v>
      </c>
      <c r="J256" s="3"/>
      <c r="K256" s="3"/>
      <c r="L256" s="3"/>
      <c r="N256" s="4"/>
      <c r="O256" s="4"/>
    </row>
    <row r="257" spans="1:15" x14ac:dyDescent="0.2">
      <c r="B257" s="48" t="s">
        <v>452</v>
      </c>
      <c r="C257" s="48" t="s">
        <v>455</v>
      </c>
      <c r="J257" s="3"/>
      <c r="K257" s="3"/>
      <c r="L257" s="3"/>
      <c r="N257" s="4"/>
      <c r="O257" s="4"/>
    </row>
    <row r="258" spans="1:15" x14ac:dyDescent="0.2">
      <c r="B258" s="48" t="s">
        <v>452</v>
      </c>
      <c r="C258" s="48" t="s">
        <v>456</v>
      </c>
      <c r="J258" s="3"/>
      <c r="K258" s="3"/>
      <c r="L258" s="3"/>
      <c r="N258" s="4"/>
      <c r="O258" s="4"/>
    </row>
    <row r="259" spans="1:15" x14ac:dyDescent="0.2">
      <c r="B259" s="48" t="s">
        <v>452</v>
      </c>
      <c r="C259" s="48" t="s">
        <v>457</v>
      </c>
      <c r="J259" s="3"/>
      <c r="K259" s="3"/>
      <c r="L259" s="3"/>
      <c r="N259" s="4"/>
      <c r="O259" s="4"/>
    </row>
    <row r="260" spans="1:15" x14ac:dyDescent="0.2">
      <c r="B260" s="48" t="s">
        <v>452</v>
      </c>
      <c r="C260" s="48" t="s">
        <v>509</v>
      </c>
      <c r="J260" s="3"/>
      <c r="K260" s="3"/>
      <c r="L260" s="3"/>
      <c r="N260" s="4"/>
      <c r="O260" s="4"/>
    </row>
    <row r="261" spans="1:15" x14ac:dyDescent="0.2">
      <c r="B261" s="48" t="s">
        <v>452</v>
      </c>
      <c r="C261" s="48" t="s">
        <v>508</v>
      </c>
      <c r="J261" s="3"/>
      <c r="K261" s="3"/>
      <c r="L261" s="3"/>
      <c r="N261" s="4"/>
      <c r="O261" s="4"/>
    </row>
    <row r="262" spans="1:15" x14ac:dyDescent="0.2">
      <c r="B262" s="48" t="s">
        <v>452</v>
      </c>
      <c r="C262" s="48" t="s">
        <v>474</v>
      </c>
      <c r="D262" s="48" t="s">
        <v>475</v>
      </c>
      <c r="J262" s="3"/>
      <c r="K262" s="3"/>
      <c r="L262" s="3"/>
      <c r="N262" s="4"/>
      <c r="O262" s="4"/>
    </row>
    <row r="263" spans="1:15" x14ac:dyDescent="0.2">
      <c r="B263" s="48" t="s">
        <v>452</v>
      </c>
      <c r="C263" s="48" t="s">
        <v>480</v>
      </c>
      <c r="D263" s="48" t="s">
        <v>507</v>
      </c>
      <c r="J263" s="3"/>
      <c r="K263" s="3"/>
      <c r="L263" s="3"/>
      <c r="N263" s="4"/>
      <c r="O263" s="4"/>
    </row>
    <row r="264" spans="1:15" x14ac:dyDescent="0.2">
      <c r="B264" s="48" t="s">
        <v>452</v>
      </c>
      <c r="C264" s="90" t="s">
        <v>472</v>
      </c>
      <c r="D264" s="48" t="s">
        <v>505</v>
      </c>
      <c r="J264" s="3"/>
      <c r="K264" s="3"/>
      <c r="L264" s="3"/>
      <c r="N264" s="4"/>
      <c r="O264" s="4"/>
    </row>
    <row r="265" spans="1:15" x14ac:dyDescent="0.2">
      <c r="B265" s="48" t="s">
        <v>452</v>
      </c>
      <c r="C265" s="90" t="s">
        <v>516</v>
      </c>
      <c r="D265" s="48" t="s">
        <v>517</v>
      </c>
      <c r="J265" s="3"/>
      <c r="K265" s="3"/>
      <c r="L265" s="3"/>
      <c r="N265" s="4"/>
      <c r="O265" s="4"/>
    </row>
    <row r="266" spans="1:15" x14ac:dyDescent="0.2">
      <c r="B266" s="48" t="s">
        <v>452</v>
      </c>
      <c r="C266" s="90" t="s">
        <v>471</v>
      </c>
      <c r="D266" s="48" t="s">
        <v>506</v>
      </c>
      <c r="J266" s="3"/>
      <c r="K266" s="3"/>
      <c r="L266" s="3"/>
      <c r="N266" s="4"/>
      <c r="O266" s="4"/>
    </row>
    <row r="267" spans="1:15" x14ac:dyDescent="0.2">
      <c r="B267" s="48" t="s">
        <v>452</v>
      </c>
      <c r="C267" s="48" t="s">
        <v>477</v>
      </c>
      <c r="D267" s="48" t="s">
        <v>476</v>
      </c>
      <c r="J267" s="3"/>
      <c r="K267" s="3"/>
      <c r="L267" s="3"/>
      <c r="N267" s="4"/>
      <c r="O267" s="4"/>
    </row>
    <row r="268" spans="1:15" x14ac:dyDescent="0.2">
      <c r="B268" s="48" t="s">
        <v>452</v>
      </c>
      <c r="C268" s="48" t="s">
        <v>478</v>
      </c>
      <c r="D268" s="48" t="s">
        <v>479</v>
      </c>
      <c r="J268" s="3"/>
      <c r="K268" s="3"/>
      <c r="L268" s="3"/>
      <c r="N268" s="4"/>
      <c r="O268" s="4"/>
    </row>
    <row r="269" spans="1:15" x14ac:dyDescent="0.2">
      <c r="B269" s="48" t="s">
        <v>452</v>
      </c>
      <c r="C269" s="48" t="s">
        <v>511</v>
      </c>
      <c r="D269" s="48" t="s">
        <v>512</v>
      </c>
      <c r="J269" s="3"/>
      <c r="K269" s="3"/>
      <c r="L269" s="3"/>
      <c r="N269" s="4"/>
      <c r="O269" s="4"/>
    </row>
    <row r="270" spans="1:15" x14ac:dyDescent="0.2">
      <c r="B270" s="48" t="s">
        <v>452</v>
      </c>
      <c r="C270" t="s">
        <v>513</v>
      </c>
      <c r="J270" s="3"/>
      <c r="K270" s="3"/>
      <c r="L270" s="3"/>
      <c r="N270" s="4"/>
      <c r="O270" s="4"/>
    </row>
    <row r="271" spans="1:15" x14ac:dyDescent="0.2">
      <c r="B271" s="48" t="s">
        <v>452</v>
      </c>
      <c r="C271" s="48" t="s">
        <v>514</v>
      </c>
      <c r="D271" s="48" t="s">
        <v>515</v>
      </c>
      <c r="F271" s="29"/>
      <c r="J271" s="3"/>
      <c r="K271" s="3"/>
      <c r="L271" s="3"/>
      <c r="N271" s="4"/>
      <c r="O271" s="4"/>
    </row>
    <row r="272" spans="1:15" x14ac:dyDescent="0.2">
      <c r="A272" s="9"/>
      <c r="B272" s="48" t="s">
        <v>452</v>
      </c>
      <c r="C272" s="2"/>
      <c r="D272" s="9"/>
      <c r="E272" s="9"/>
      <c r="F272" s="9"/>
      <c r="G272" s="49"/>
      <c r="H272" s="9"/>
      <c r="I272" s="9"/>
      <c r="J272" s="11"/>
      <c r="K272" s="11"/>
      <c r="L272" s="11"/>
      <c r="M272" s="9"/>
      <c r="N272" s="89"/>
      <c r="O272" s="12"/>
    </row>
    <row r="273" spans="1:15" x14ac:dyDescent="0.2">
      <c r="B273" s="48" t="s">
        <v>452</v>
      </c>
      <c r="C273" s="35"/>
      <c r="J273" s="3"/>
      <c r="K273" s="3"/>
      <c r="L273" s="3"/>
      <c r="N273" s="7"/>
      <c r="O273" s="7"/>
    </row>
    <row r="274" spans="1:15" ht="15.75" x14ac:dyDescent="0.25">
      <c r="C274" s="84"/>
      <c r="D274" s="9"/>
      <c r="E274" s="9"/>
      <c r="F274" s="9"/>
      <c r="G274" s="49"/>
      <c r="H274" s="9"/>
      <c r="I274" s="9"/>
      <c r="J274" s="11"/>
      <c r="K274" s="11"/>
      <c r="L274" s="11"/>
      <c r="M274" s="9"/>
      <c r="N274" s="77"/>
      <c r="O274" s="17"/>
    </row>
    <row r="277" spans="1:15" ht="20.25" x14ac:dyDescent="0.3">
      <c r="A277" s="8"/>
      <c r="B277" s="1" t="s">
        <v>756</v>
      </c>
      <c r="C277" s="26"/>
      <c r="E277" s="8"/>
      <c r="F277" s="15"/>
      <c r="G277"/>
      <c r="M277" s="92" t="s">
        <v>2</v>
      </c>
    </row>
    <row r="278" spans="1:15" x14ac:dyDescent="0.2">
      <c r="A278" s="8"/>
      <c r="E278" s="8"/>
      <c r="G278"/>
      <c r="M278" s="92">
        <f>M181</f>
        <v>0</v>
      </c>
    </row>
    <row r="279" spans="1:15" x14ac:dyDescent="0.2">
      <c r="A279" s="2" t="s">
        <v>4</v>
      </c>
      <c r="B279" s="2" t="s">
        <v>5</v>
      </c>
      <c r="C279" s="2" t="s">
        <v>6</v>
      </c>
      <c r="D279" s="2" t="s">
        <v>7</v>
      </c>
      <c r="E279" s="2" t="s">
        <v>8</v>
      </c>
      <c r="F279" s="2" t="s">
        <v>9</v>
      </c>
      <c r="G279" s="63" t="s">
        <v>10</v>
      </c>
      <c r="H279" s="2" t="s">
        <v>11</v>
      </c>
      <c r="I279" s="2" t="s">
        <v>12</v>
      </c>
      <c r="J279" s="2" t="s">
        <v>13</v>
      </c>
      <c r="K279" s="2" t="s">
        <v>14</v>
      </c>
      <c r="L279" s="2" t="s">
        <v>15</v>
      </c>
      <c r="M279" s="2" t="s">
        <v>16</v>
      </c>
      <c r="N279" s="2" t="s">
        <v>17</v>
      </c>
      <c r="O279" s="2"/>
    </row>
    <row r="280" spans="1:15" x14ac:dyDescent="0.2">
      <c r="A280" s="8">
        <v>1</v>
      </c>
      <c r="B280" s="48" t="s">
        <v>744</v>
      </c>
      <c r="C280" s="29" t="s">
        <v>204</v>
      </c>
      <c r="D280" s="29" t="s">
        <v>205</v>
      </c>
      <c r="E280" s="48" t="s">
        <v>579</v>
      </c>
      <c r="F280" s="29" t="s">
        <v>243</v>
      </c>
      <c r="G280" s="64" t="s">
        <v>201</v>
      </c>
      <c r="H280">
        <v>2</v>
      </c>
      <c r="I280" t="s">
        <v>24</v>
      </c>
      <c r="J280" s="3"/>
      <c r="K280" s="3">
        <v>155</v>
      </c>
      <c r="L280" s="3">
        <f>(K280+J280)*0.1</f>
        <v>15.5</v>
      </c>
      <c r="N280" s="4">
        <f t="shared" ref="N280:N292" si="39">M280*(L280+K280*$K$34+J280)</f>
        <v>0</v>
      </c>
      <c r="O280" s="4"/>
    </row>
    <row r="281" spans="1:15" x14ac:dyDescent="0.2">
      <c r="A281" s="8">
        <v>2</v>
      </c>
      <c r="B281" s="48" t="s">
        <v>744</v>
      </c>
      <c r="C281" t="s">
        <v>202</v>
      </c>
      <c r="D281" s="48" t="s">
        <v>580</v>
      </c>
      <c r="E281" s="48" t="s">
        <v>581</v>
      </c>
      <c r="F281" s="29" t="s">
        <v>217</v>
      </c>
      <c r="G281" s="60" t="s">
        <v>231</v>
      </c>
      <c r="H281">
        <v>1</v>
      </c>
      <c r="I281" t="s">
        <v>24</v>
      </c>
      <c r="J281" s="3">
        <v>32</v>
      </c>
      <c r="K281" s="3"/>
      <c r="L281" s="3">
        <f>(K281+J281)*0.1</f>
        <v>3.2</v>
      </c>
      <c r="M281">
        <v>1</v>
      </c>
      <c r="N281" s="4">
        <f t="shared" si="39"/>
        <v>35.200000000000003</v>
      </c>
      <c r="O281" s="4"/>
    </row>
    <row r="282" spans="1:15" x14ac:dyDescent="0.2">
      <c r="A282" s="8">
        <v>3</v>
      </c>
      <c r="B282" s="48" t="s">
        <v>744</v>
      </c>
      <c r="C282" s="48" t="s">
        <v>575</v>
      </c>
      <c r="D282" s="48" t="s">
        <v>746</v>
      </c>
      <c r="E282" s="48" t="s">
        <v>581</v>
      </c>
      <c r="F282" s="48" t="s">
        <v>181</v>
      </c>
      <c r="G282" s="139" t="s">
        <v>745</v>
      </c>
      <c r="H282">
        <v>4</v>
      </c>
      <c r="I282" t="s">
        <v>24</v>
      </c>
      <c r="J282" s="3">
        <f>'PCB - BOM'!Q182</f>
        <v>172.43100000000001</v>
      </c>
      <c r="K282" s="3"/>
      <c r="L282" s="3"/>
      <c r="M282">
        <v>1</v>
      </c>
      <c r="N282" s="4">
        <f t="shared" si="39"/>
        <v>172.43100000000001</v>
      </c>
      <c r="O282" s="4"/>
    </row>
    <row r="283" spans="1:15" x14ac:dyDescent="0.2">
      <c r="A283" s="8">
        <v>4</v>
      </c>
      <c r="B283" s="48" t="s">
        <v>744</v>
      </c>
      <c r="C283" s="48" t="s">
        <v>748</v>
      </c>
      <c r="D283" s="29" t="s">
        <v>256</v>
      </c>
      <c r="E283" s="48" t="s">
        <v>581</v>
      </c>
      <c r="F283" t="s">
        <v>193</v>
      </c>
      <c r="G283" s="60" t="s">
        <v>248</v>
      </c>
      <c r="H283">
        <v>4</v>
      </c>
      <c r="I283" t="s">
        <v>24</v>
      </c>
      <c r="J283" s="3">
        <v>18</v>
      </c>
      <c r="K283" s="3"/>
      <c r="L283" s="3">
        <f>(K283+J283)*0.1</f>
        <v>1.8</v>
      </c>
      <c r="M283">
        <v>2</v>
      </c>
      <c r="N283" s="4">
        <f t="shared" si="39"/>
        <v>39.6</v>
      </c>
      <c r="O283" s="4"/>
    </row>
    <row r="284" spans="1:15" x14ac:dyDescent="0.2">
      <c r="A284" s="8">
        <v>5</v>
      </c>
      <c r="B284" s="48" t="s">
        <v>744</v>
      </c>
      <c r="C284" s="48" t="s">
        <v>748</v>
      </c>
      <c r="D284" s="48" t="s">
        <v>752</v>
      </c>
      <c r="E284" s="48" t="s">
        <v>581</v>
      </c>
      <c r="F284" t="s">
        <v>193</v>
      </c>
      <c r="G284" s="215" t="s">
        <v>753</v>
      </c>
      <c r="H284">
        <v>4</v>
      </c>
      <c r="I284" t="s">
        <v>24</v>
      </c>
      <c r="J284" s="3">
        <v>18</v>
      </c>
      <c r="K284" s="3"/>
      <c r="L284" s="3">
        <f>(K284+J284)*0.1</f>
        <v>1.8</v>
      </c>
      <c r="M284">
        <v>3</v>
      </c>
      <c r="N284" s="4">
        <f t="shared" ref="N284" si="40">M284*(L284+K284*$K$34+J284)</f>
        <v>59.400000000000006</v>
      </c>
      <c r="O284" s="4"/>
    </row>
    <row r="285" spans="1:15" x14ac:dyDescent="0.2">
      <c r="A285" s="8">
        <v>6</v>
      </c>
      <c r="B285" s="48" t="s">
        <v>744</v>
      </c>
      <c r="C285" s="48" t="s">
        <v>747</v>
      </c>
      <c r="D285" t="s">
        <v>203</v>
      </c>
      <c r="E285" s="48" t="s">
        <v>581</v>
      </c>
      <c r="F285" t="s">
        <v>193</v>
      </c>
      <c r="G285" s="66" t="s">
        <v>251</v>
      </c>
      <c r="H285">
        <v>4</v>
      </c>
      <c r="I285" t="s">
        <v>24</v>
      </c>
      <c r="J285" s="3">
        <v>14</v>
      </c>
      <c r="K285" s="3"/>
      <c r="L285" s="3">
        <f>(K285+J285)*0.1</f>
        <v>1.4000000000000001</v>
      </c>
      <c r="M285">
        <v>1</v>
      </c>
      <c r="N285" s="4">
        <f t="shared" ref="N285" si="41">M285*(L285+K285*$K$34+J285)</f>
        <v>15.4</v>
      </c>
      <c r="O285" s="4"/>
    </row>
    <row r="286" spans="1:15" x14ac:dyDescent="0.2">
      <c r="A286" s="8">
        <v>7</v>
      </c>
      <c r="B286" s="48" t="s">
        <v>744</v>
      </c>
      <c r="C286" s="48" t="s">
        <v>747</v>
      </c>
      <c r="D286" s="48" t="s">
        <v>241</v>
      </c>
      <c r="E286" s="48" t="s">
        <v>581</v>
      </c>
      <c r="F286" t="s">
        <v>193</v>
      </c>
      <c r="G286" s="215" t="s">
        <v>754</v>
      </c>
      <c r="H286">
        <v>4</v>
      </c>
      <c r="I286" t="s">
        <v>24</v>
      </c>
      <c r="J286" s="3">
        <v>14</v>
      </c>
      <c r="K286" s="3"/>
      <c r="L286" s="3">
        <f>(K286+J286)*0.1</f>
        <v>1.4000000000000001</v>
      </c>
      <c r="M286">
        <v>1</v>
      </c>
      <c r="N286" s="4">
        <f t="shared" ref="N286" si="42">M286*(L286+K286*$K$34+J286)</f>
        <v>15.4</v>
      </c>
      <c r="O286" s="4"/>
    </row>
    <row r="287" spans="1:15" x14ac:dyDescent="0.2">
      <c r="A287" s="8">
        <v>8</v>
      </c>
      <c r="B287" s="48" t="s">
        <v>744</v>
      </c>
      <c r="C287" s="29" t="s">
        <v>253</v>
      </c>
      <c r="D287" s="29" t="s">
        <v>254</v>
      </c>
      <c r="E287" s="48" t="s">
        <v>581</v>
      </c>
      <c r="F287" t="s">
        <v>193</v>
      </c>
      <c r="G287" s="67" t="s">
        <v>257</v>
      </c>
      <c r="H287">
        <v>4</v>
      </c>
      <c r="I287" t="s">
        <v>24</v>
      </c>
      <c r="J287" s="3">
        <v>3</v>
      </c>
      <c r="K287" s="3"/>
      <c r="L287" s="3">
        <f>(K287+J287)*0.1</f>
        <v>0.30000000000000004</v>
      </c>
      <c r="M287">
        <v>3</v>
      </c>
      <c r="N287" s="4">
        <f t="shared" si="39"/>
        <v>9.8999999999999986</v>
      </c>
      <c r="O287" s="4"/>
    </row>
    <row r="288" spans="1:15" x14ac:dyDescent="0.2">
      <c r="A288" s="8">
        <v>9</v>
      </c>
      <c r="B288" s="48" t="s">
        <v>744</v>
      </c>
      <c r="C288" t="s">
        <v>124</v>
      </c>
      <c r="D288" t="s">
        <v>124</v>
      </c>
      <c r="E288" s="48" t="s">
        <v>581</v>
      </c>
      <c r="F288" t="s">
        <v>31</v>
      </c>
      <c r="G288" s="60"/>
      <c r="H288">
        <v>2</v>
      </c>
      <c r="I288" t="s">
        <v>24</v>
      </c>
      <c r="J288" s="3">
        <v>10</v>
      </c>
      <c r="K288" s="3"/>
      <c r="L288" s="3">
        <v>0</v>
      </c>
      <c r="M288">
        <v>1</v>
      </c>
      <c r="N288" s="4">
        <f t="shared" si="39"/>
        <v>10</v>
      </c>
      <c r="O288" s="4"/>
    </row>
    <row r="289" spans="1:15" x14ac:dyDescent="0.2">
      <c r="A289" s="8">
        <v>10</v>
      </c>
      <c r="B289" s="48" t="s">
        <v>744</v>
      </c>
      <c r="C289" s="48" t="s">
        <v>467</v>
      </c>
      <c r="D289" s="48" t="s">
        <v>749</v>
      </c>
      <c r="E289" t="s">
        <v>50</v>
      </c>
      <c r="F289" s="52" t="s">
        <v>468</v>
      </c>
      <c r="G289" s="139" t="s">
        <v>469</v>
      </c>
      <c r="H289">
        <v>2</v>
      </c>
      <c r="I289" t="s">
        <v>24</v>
      </c>
      <c r="J289" s="3">
        <v>20</v>
      </c>
      <c r="K289" s="3"/>
      <c r="L289" s="3">
        <v>0</v>
      </c>
      <c r="M289">
        <v>0</v>
      </c>
      <c r="N289" s="4">
        <f t="shared" si="39"/>
        <v>0</v>
      </c>
      <c r="O289" s="4"/>
    </row>
    <row r="290" spans="1:15" x14ac:dyDescent="0.2">
      <c r="A290" s="8">
        <v>11</v>
      </c>
      <c r="B290" s="48" t="s">
        <v>744</v>
      </c>
      <c r="C290" t="s">
        <v>126</v>
      </c>
      <c r="D290" s="29" t="s">
        <v>348</v>
      </c>
      <c r="E290" s="48" t="s">
        <v>581</v>
      </c>
      <c r="F290" s="29" t="s">
        <v>243</v>
      </c>
      <c r="G290" s="60" t="s">
        <v>351</v>
      </c>
      <c r="H290">
        <v>1</v>
      </c>
      <c r="I290" t="s">
        <v>24</v>
      </c>
      <c r="J290" s="3">
        <v>5</v>
      </c>
      <c r="K290" s="3"/>
      <c r="L290" s="3">
        <v>0</v>
      </c>
      <c r="M290">
        <v>1</v>
      </c>
      <c r="N290" s="4">
        <f t="shared" si="39"/>
        <v>5</v>
      </c>
      <c r="O290" s="4"/>
    </row>
    <row r="291" spans="1:15" x14ac:dyDescent="0.2">
      <c r="A291" s="8">
        <v>12</v>
      </c>
      <c r="B291" s="48" t="s">
        <v>744</v>
      </c>
      <c r="C291" t="s">
        <v>197</v>
      </c>
      <c r="D291" s="29" t="s">
        <v>352</v>
      </c>
      <c r="E291" s="48" t="s">
        <v>581</v>
      </c>
      <c r="F291" s="29" t="s">
        <v>271</v>
      </c>
      <c r="H291">
        <v>1</v>
      </c>
      <c r="I291" t="s">
        <v>24</v>
      </c>
      <c r="J291" s="3">
        <v>6.5</v>
      </c>
      <c r="K291" s="3"/>
      <c r="L291" s="3">
        <f>(K291+J291)*0.1</f>
        <v>0.65</v>
      </c>
      <c r="M291">
        <v>1</v>
      </c>
      <c r="N291" s="4">
        <f t="shared" si="39"/>
        <v>7.15</v>
      </c>
      <c r="O291" s="4"/>
    </row>
    <row r="292" spans="1:15" x14ac:dyDescent="0.2">
      <c r="A292" s="8">
        <v>13</v>
      </c>
      <c r="B292" s="48" t="s">
        <v>744</v>
      </c>
      <c r="C292" s="48" t="s">
        <v>750</v>
      </c>
      <c r="D292" s="48" t="s">
        <v>751</v>
      </c>
      <c r="E292" s="48" t="s">
        <v>581</v>
      </c>
      <c r="F292" s="48" t="s">
        <v>181</v>
      </c>
      <c r="H292">
        <v>1</v>
      </c>
      <c r="I292" t="s">
        <v>24</v>
      </c>
      <c r="J292" s="3">
        <v>10</v>
      </c>
      <c r="K292" s="3"/>
      <c r="L292" s="3">
        <v>0</v>
      </c>
      <c r="M292">
        <v>1</v>
      </c>
      <c r="N292" s="4">
        <f t="shared" si="39"/>
        <v>10</v>
      </c>
      <c r="O292" s="4"/>
    </row>
    <row r="293" spans="1:15" x14ac:dyDescent="0.2">
      <c r="A293" s="8">
        <v>14</v>
      </c>
      <c r="B293" s="48" t="s">
        <v>744</v>
      </c>
      <c r="C293" s="207" t="s">
        <v>755</v>
      </c>
      <c r="D293" s="207" t="s">
        <v>755</v>
      </c>
      <c r="E293" s="10"/>
      <c r="F293" s="207" t="s">
        <v>181</v>
      </c>
      <c r="G293" s="32"/>
      <c r="H293" s="9"/>
      <c r="I293" s="9"/>
      <c r="J293" s="11">
        <v>75</v>
      </c>
      <c r="K293" s="11"/>
      <c r="L293" s="11">
        <v>0</v>
      </c>
      <c r="M293" s="9">
        <v>1</v>
      </c>
      <c r="N293" s="12">
        <f t="shared" ref="N293" si="43">M293*(L293+K293*$K$34+J293)</f>
        <v>75</v>
      </c>
      <c r="O293" s="12"/>
    </row>
    <row r="294" spans="1:15" x14ac:dyDescent="0.2">
      <c r="A294" s="8"/>
      <c r="B294" s="48" t="s">
        <v>744</v>
      </c>
      <c r="C294" s="48"/>
      <c r="E294" s="8"/>
      <c r="G294" s="6" t="s">
        <v>757</v>
      </c>
      <c r="L294" s="3"/>
      <c r="M294" s="3"/>
      <c r="N294" s="216">
        <f>SUM(N280:N293)</f>
        <v>454.48099999999994</v>
      </c>
      <c r="O294" s="22"/>
    </row>
    <row r="295" spans="1:15" x14ac:dyDescent="0.2">
      <c r="A295" s="8"/>
      <c r="E295" s="8"/>
      <c r="G295" s="35" t="s">
        <v>44</v>
      </c>
      <c r="L295" s="3"/>
      <c r="M295" s="3"/>
      <c r="N295" s="3"/>
      <c r="O295" s="22"/>
    </row>
    <row r="296" spans="1:15" x14ac:dyDescent="0.2">
      <c r="A296" s="8"/>
      <c r="B296" t="s">
        <v>198</v>
      </c>
      <c r="E296" s="8"/>
      <c r="G296" t="s">
        <v>45</v>
      </c>
      <c r="L296" s="3"/>
      <c r="M296" s="3"/>
      <c r="N296" s="3"/>
      <c r="O296" s="13"/>
    </row>
    <row r="297" spans="1:15" x14ac:dyDescent="0.2">
      <c r="A297" s="8"/>
      <c r="D297">
        <v>5</v>
      </c>
      <c r="E297" s="8"/>
      <c r="G297" t="s">
        <v>46</v>
      </c>
      <c r="L297" s="3"/>
      <c r="M297" s="3"/>
      <c r="N297" s="3"/>
    </row>
    <row r="298" spans="1:15" x14ac:dyDescent="0.2">
      <c r="A298" s="8"/>
      <c r="E298" s="8"/>
      <c r="G298" s="35" t="s">
        <v>47</v>
      </c>
      <c r="L298" s="3"/>
      <c r="M298" s="3"/>
      <c r="N298" s="3"/>
      <c r="O298" s="22"/>
    </row>
    <row r="300" spans="1:15" x14ac:dyDescent="0.2">
      <c r="F300" s="215"/>
    </row>
    <row r="301" spans="1:15" x14ac:dyDescent="0.2">
      <c r="F301" s="48"/>
    </row>
  </sheetData>
  <phoneticPr fontId="0" type="noConversion"/>
  <hyperlinks>
    <hyperlink ref="F170" r:id="rId1" display="www.marineoutfitters.ca" xr:uid="{00000000-0004-0000-0000-000000000000}"/>
    <hyperlink ref="F92" r:id="rId2" xr:uid="{00000000-0004-0000-0000-000002000000}"/>
    <hyperlink ref="G114" r:id="rId3" display="https://www.digikey.ca/product-detail/en/nxp-usa-inc/MPXV7007GC6U/MPXV7007GC6U-ND/1168440" xr:uid="{81DE98D8-DA27-4094-B4A2-8C2EF44E4B75}"/>
    <hyperlink ref="F289" r:id="rId4" xr:uid="{A2CE2C47-3F13-49E4-9C6B-C4810DD3B40F}"/>
  </hyperlinks>
  <pageMargins left="0.25" right="0.25" top="0.75" bottom="0.75" header="0.3" footer="0.3"/>
  <pageSetup scale="60" orientation="landscape" horizontalDpi="300" verticalDpi="300" r:id="rId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293"/>
  <sheetViews>
    <sheetView topLeftCell="H1" workbookViewId="0">
      <selection activeCell="N180" sqref="N180"/>
    </sheetView>
  </sheetViews>
  <sheetFormatPr defaultRowHeight="12.75" x14ac:dyDescent="0.2"/>
  <cols>
    <col min="1" max="1" width="9.7109375" customWidth="1"/>
    <col min="2" max="2" width="14.7109375" customWidth="1"/>
    <col min="3" max="3" width="5.28515625" style="8" customWidth="1"/>
    <col min="4" max="4" width="26.140625" customWidth="1"/>
    <col min="5" max="5" width="5.85546875" customWidth="1"/>
    <col min="6" max="6" width="5" customWidth="1"/>
    <col min="7" max="7" width="23.7109375" customWidth="1"/>
    <col min="8" max="8" width="36.42578125" customWidth="1"/>
    <col min="9" max="9" width="35.7109375" customWidth="1"/>
    <col min="10" max="10" width="9.7109375" customWidth="1"/>
    <col min="11" max="11" width="16.5703125" customWidth="1"/>
    <col min="12" max="12" width="7.42578125" customWidth="1"/>
    <col min="13" max="13" width="3.7109375" customWidth="1"/>
    <col min="14" max="14" width="11" customWidth="1"/>
    <col min="15" max="15" width="10" customWidth="1"/>
    <col min="17" max="17" width="11.140625" customWidth="1"/>
    <col min="18" max="18" width="4.7109375" customWidth="1"/>
    <col min="21" max="21" width="6.28515625" customWidth="1"/>
    <col min="22" max="22" width="14.7109375" customWidth="1"/>
    <col min="23" max="23" width="29.5703125" customWidth="1"/>
    <col min="24" max="24" width="15.7109375" customWidth="1"/>
    <col min="25" max="25" width="22" customWidth="1"/>
    <col min="26" max="26" width="19.5703125" customWidth="1"/>
  </cols>
  <sheetData>
    <row r="1" spans="1:27" x14ac:dyDescent="0.2">
      <c r="A1" s="143"/>
      <c r="B1" s="143"/>
      <c r="G1" s="8"/>
      <c r="H1" s="144"/>
      <c r="I1" s="144">
        <v>43408</v>
      </c>
      <c r="K1" t="s">
        <v>0</v>
      </c>
    </row>
    <row r="2" spans="1:27" x14ac:dyDescent="0.2">
      <c r="G2" s="8"/>
      <c r="Y2" s="8"/>
    </row>
    <row r="3" spans="1:27" x14ac:dyDescent="0.2">
      <c r="A3" s="18"/>
      <c r="B3" s="18"/>
      <c r="C3" s="28"/>
      <c r="D3" s="27"/>
      <c r="E3" s="27"/>
      <c r="F3" s="27"/>
      <c r="G3" s="28"/>
      <c r="H3" s="27"/>
      <c r="I3" s="27"/>
      <c r="J3" s="27"/>
      <c r="K3" s="27"/>
      <c r="L3" s="27"/>
      <c r="M3" s="27"/>
      <c r="N3" s="27"/>
      <c r="O3" s="27"/>
      <c r="P3" s="27"/>
      <c r="Q3" s="27"/>
      <c r="R3" s="27"/>
      <c r="S3" s="27"/>
      <c r="T3" s="27"/>
      <c r="U3" s="27"/>
      <c r="V3" s="27"/>
      <c r="W3" s="27"/>
      <c r="X3" s="27"/>
      <c r="Y3" s="28"/>
    </row>
    <row r="4" spans="1:27" ht="27" thickBot="1" x14ac:dyDescent="0.45">
      <c r="A4" s="99" t="s">
        <v>238</v>
      </c>
      <c r="B4" s="100" t="s">
        <v>239</v>
      </c>
      <c r="D4" s="145" t="s">
        <v>493</v>
      </c>
      <c r="E4" s="31"/>
      <c r="G4" s="8"/>
      <c r="H4" s="21"/>
      <c r="Y4" s="8"/>
    </row>
    <row r="5" spans="1:27" ht="13.5" thickTop="1" x14ac:dyDescent="0.2">
      <c r="A5" s="94"/>
      <c r="B5" s="95"/>
      <c r="G5" s="8"/>
      <c r="H5" s="21"/>
      <c r="Y5" s="8"/>
    </row>
    <row r="6" spans="1:27" ht="20.25" x14ac:dyDescent="0.3">
      <c r="A6" s="97"/>
      <c r="B6" s="98"/>
      <c r="D6" s="1" t="s">
        <v>687</v>
      </c>
      <c r="E6" s="26"/>
      <c r="G6" s="8"/>
      <c r="H6" s="15"/>
      <c r="O6" s="92" t="s">
        <v>2</v>
      </c>
      <c r="S6" s="32" t="s">
        <v>3</v>
      </c>
      <c r="T6" s="70">
        <v>6</v>
      </c>
      <c r="Y6" s="8"/>
      <c r="Z6" s="8"/>
      <c r="AA6" s="8"/>
    </row>
    <row r="7" spans="1:27" x14ac:dyDescent="0.2">
      <c r="A7" s="141" t="s">
        <v>389</v>
      </c>
      <c r="B7" s="142">
        <f>B8*0.05</f>
        <v>169.57724999999994</v>
      </c>
      <c r="D7" s="4"/>
      <c r="F7">
        <f>SUM(F9:F50)</f>
        <v>77</v>
      </c>
      <c r="G7" s="8"/>
      <c r="O7" s="92">
        <v>1.42</v>
      </c>
      <c r="Y7" s="8"/>
      <c r="Z7" s="8"/>
      <c r="AA7" s="8"/>
    </row>
    <row r="8" spans="1:27" ht="15.75" x14ac:dyDescent="0.25">
      <c r="A8" s="148"/>
      <c r="B8" s="149">
        <f>SUM(B9:B108)</f>
        <v>3391.5449999999983</v>
      </c>
      <c r="D8" s="32" t="s">
        <v>139</v>
      </c>
      <c r="E8" s="32" t="s">
        <v>5</v>
      </c>
      <c r="F8" s="32" t="s">
        <v>16</v>
      </c>
      <c r="G8" s="34" t="s">
        <v>10</v>
      </c>
      <c r="H8" s="32" t="s">
        <v>7</v>
      </c>
      <c r="I8" s="32" t="s">
        <v>6</v>
      </c>
      <c r="J8" s="32" t="s">
        <v>8</v>
      </c>
      <c r="K8" s="32" t="s">
        <v>9</v>
      </c>
      <c r="L8" s="32" t="s">
        <v>11</v>
      </c>
      <c r="M8" s="32" t="s">
        <v>12</v>
      </c>
      <c r="N8" s="32" t="s">
        <v>13</v>
      </c>
      <c r="O8" s="32" t="s">
        <v>14</v>
      </c>
      <c r="P8" s="32" t="s">
        <v>15</v>
      </c>
      <c r="Q8" s="32" t="s">
        <v>17</v>
      </c>
      <c r="R8" s="32"/>
      <c r="S8" s="35" t="s">
        <v>18</v>
      </c>
      <c r="T8" s="35" t="s">
        <v>19</v>
      </c>
      <c r="U8" s="35" t="s">
        <v>20</v>
      </c>
      <c r="V8" s="35" t="str">
        <f t="shared" ref="V8:V27" si="0">I8</f>
        <v>Name</v>
      </c>
      <c r="W8" s="35" t="str">
        <f t="shared" ref="W8:W27" si="1">H8</f>
        <v>Description</v>
      </c>
      <c r="X8" s="35" t="str">
        <f t="shared" ref="X8:X27" si="2">K8</f>
        <v>Vendor</v>
      </c>
      <c r="Y8" s="33" t="str">
        <f t="shared" ref="Y8:Y27" si="3">G8</f>
        <v>Vendor Part #</v>
      </c>
      <c r="Z8" s="121" t="s">
        <v>438</v>
      </c>
      <c r="AA8" s="33"/>
    </row>
    <row r="9" spans="1:27" x14ac:dyDescent="0.2">
      <c r="A9" s="95"/>
      <c r="B9" s="150">
        <f>A9*Q9/F9</f>
        <v>0</v>
      </c>
      <c r="C9" s="40">
        <v>1</v>
      </c>
      <c r="D9" s="48" t="s">
        <v>672</v>
      </c>
      <c r="E9" s="48" t="s">
        <v>616</v>
      </c>
      <c r="F9">
        <v>1</v>
      </c>
      <c r="G9" s="40" t="s">
        <v>673</v>
      </c>
      <c r="H9" s="138" t="s">
        <v>436</v>
      </c>
      <c r="I9" s="48" t="s">
        <v>760</v>
      </c>
      <c r="J9" s="29" t="s">
        <v>140</v>
      </c>
      <c r="K9" s="48" t="s">
        <v>606</v>
      </c>
      <c r="L9">
        <v>3</v>
      </c>
      <c r="M9" t="s">
        <v>24</v>
      </c>
      <c r="N9" s="3"/>
      <c r="O9" s="3">
        <v>15</v>
      </c>
      <c r="P9" s="3">
        <f t="shared" ref="P9:P34" si="4">(O9+N9)*0.1</f>
        <v>1.5</v>
      </c>
      <c r="Q9" s="4">
        <f t="shared" ref="Q9:Q39" si="5">F9*(P9+O9*$O$69+N9)</f>
        <v>21</v>
      </c>
      <c r="R9" s="4"/>
      <c r="S9">
        <f t="shared" ref="S9:S20" si="6">$T$68*F9</f>
        <v>6</v>
      </c>
      <c r="T9">
        <f t="shared" ref="T9:T50" si="7">A9</f>
        <v>0</v>
      </c>
      <c r="U9" s="90">
        <f>IF(S9-T9&gt;0, S9-T9, 0)</f>
        <v>6</v>
      </c>
      <c r="V9" s="29" t="str">
        <f t="shared" si="0"/>
        <v>DSA MkVI Revision D PCB</v>
      </c>
      <c r="W9" s="29" t="str">
        <f t="shared" si="1"/>
        <v>3 1/2" x 5" PCB</v>
      </c>
      <c r="X9" s="29" t="str">
        <f t="shared" si="2"/>
        <v>JCLPCB</v>
      </c>
      <c r="Y9" s="30" t="str">
        <f t="shared" si="3"/>
        <v>DSAMVIC</v>
      </c>
      <c r="Z9" t="s">
        <v>141</v>
      </c>
      <c r="AA9" s="8"/>
    </row>
    <row r="10" spans="1:27" x14ac:dyDescent="0.2">
      <c r="A10" s="95"/>
      <c r="B10" s="150">
        <f>A10*Q10/F10</f>
        <v>0</v>
      </c>
      <c r="C10" s="8">
        <f>C9+1</f>
        <v>2</v>
      </c>
      <c r="D10" s="48" t="s">
        <v>648</v>
      </c>
      <c r="E10" s="48" t="s">
        <v>616</v>
      </c>
      <c r="F10">
        <v>1</v>
      </c>
      <c r="G10" s="8" t="s">
        <v>776</v>
      </c>
      <c r="H10" s="48" t="s">
        <v>671</v>
      </c>
      <c r="I10" s="48" t="s">
        <v>685</v>
      </c>
      <c r="J10" s="29" t="s">
        <v>140</v>
      </c>
      <c r="K10" t="s">
        <v>142</v>
      </c>
      <c r="L10">
        <v>1</v>
      </c>
      <c r="M10" t="s">
        <v>24</v>
      </c>
      <c r="N10" s="3"/>
      <c r="O10" s="3">
        <v>5</v>
      </c>
      <c r="P10" s="3">
        <f>(O10+N10)*0.1</f>
        <v>0.5</v>
      </c>
      <c r="Q10" s="4">
        <f t="shared" si="5"/>
        <v>7</v>
      </c>
      <c r="R10" s="4"/>
      <c r="S10">
        <f t="shared" si="6"/>
        <v>6</v>
      </c>
      <c r="T10">
        <f>A10</f>
        <v>0</v>
      </c>
      <c r="U10" s="90">
        <f>IF(S10-T10&gt;0, S10-T10, 0)</f>
        <v>6</v>
      </c>
      <c r="V10" s="29" t="str">
        <f>I10</f>
        <v>Arduino PIC with bootloader</v>
      </c>
      <c r="W10" s="29" t="str">
        <f>H10</f>
        <v>ATMEGA 328-PU</v>
      </c>
      <c r="X10" s="29" t="str">
        <f>K10</f>
        <v>DigiKey</v>
      </c>
      <c r="Y10" s="30" t="str">
        <f>G10</f>
        <v>ATMEGA328-PU</v>
      </c>
      <c r="Z10" t="s">
        <v>143</v>
      </c>
      <c r="AA10" s="40"/>
    </row>
    <row r="11" spans="1:27" x14ac:dyDescent="0.2">
      <c r="A11" s="95"/>
      <c r="B11" s="150">
        <f>A11*Q11/F11</f>
        <v>0</v>
      </c>
      <c r="C11" s="8">
        <f t="shared" ref="C11:C50" si="8">C10+1</f>
        <v>3</v>
      </c>
      <c r="D11" s="48" t="s">
        <v>644</v>
      </c>
      <c r="E11" s="48" t="s">
        <v>616</v>
      </c>
      <c r="F11">
        <v>2</v>
      </c>
      <c r="G11" s="210" t="s">
        <v>645</v>
      </c>
      <c r="H11" s="209" t="s">
        <v>646</v>
      </c>
      <c r="I11" s="90" t="s">
        <v>647</v>
      </c>
      <c r="J11" s="29" t="s">
        <v>140</v>
      </c>
      <c r="K11" t="s">
        <v>142</v>
      </c>
      <c r="L11">
        <v>1</v>
      </c>
      <c r="M11" t="s">
        <v>24</v>
      </c>
      <c r="N11" s="46">
        <v>48</v>
      </c>
      <c r="O11" s="46"/>
      <c r="P11" s="46">
        <v>1</v>
      </c>
      <c r="Q11" s="4">
        <f t="shared" si="5"/>
        <v>98</v>
      </c>
      <c r="R11" s="4"/>
      <c r="S11">
        <f t="shared" si="6"/>
        <v>12</v>
      </c>
      <c r="T11">
        <f>A11</f>
        <v>0</v>
      </c>
      <c r="U11" s="90">
        <f>IF(S11-T11&gt;0, S11-T11, 0)</f>
        <v>12</v>
      </c>
      <c r="V11" s="29" t="str">
        <f>I11</f>
        <v>pnuematic sensor</v>
      </c>
      <c r="W11" s="29" t="str">
        <f>H11</f>
        <v>PRESSURE SENSOR AXIAL PORT 8-SOP</v>
      </c>
      <c r="X11" s="29" t="str">
        <f>K11</f>
        <v>DigiKey</v>
      </c>
      <c r="Y11" s="30" t="str">
        <f>G11</f>
        <v>MPXV7007GC6U-ND</v>
      </c>
      <c r="Z11" s="40" t="s">
        <v>167</v>
      </c>
      <c r="AA11" s="40" t="s">
        <v>168</v>
      </c>
    </row>
    <row r="12" spans="1:27" x14ac:dyDescent="0.2">
      <c r="A12" s="95"/>
      <c r="B12" s="150">
        <f>A12*Q12/F12</f>
        <v>0</v>
      </c>
      <c r="C12" s="8">
        <f t="shared" si="8"/>
        <v>4</v>
      </c>
      <c r="D12" s="48" t="s">
        <v>661</v>
      </c>
      <c r="E12" s="48" t="s">
        <v>616</v>
      </c>
      <c r="F12">
        <v>1</v>
      </c>
      <c r="G12" s="8" t="s">
        <v>778</v>
      </c>
      <c r="H12" t="s">
        <v>623</v>
      </c>
      <c r="I12" t="s">
        <v>624</v>
      </c>
      <c r="J12" s="29" t="s">
        <v>140</v>
      </c>
      <c r="K12" t="s">
        <v>142</v>
      </c>
      <c r="L12">
        <v>1</v>
      </c>
      <c r="M12" t="s">
        <v>24</v>
      </c>
      <c r="N12" s="3">
        <v>1.5</v>
      </c>
      <c r="O12" s="3"/>
      <c r="P12" s="3">
        <f>(O12+N12)*0.1</f>
        <v>0.15000000000000002</v>
      </c>
      <c r="Q12" s="4">
        <f t="shared" si="5"/>
        <v>1.65</v>
      </c>
      <c r="R12" s="4"/>
      <c r="S12">
        <f t="shared" si="6"/>
        <v>6</v>
      </c>
      <c r="T12">
        <f>A12</f>
        <v>0</v>
      </c>
      <c r="U12" s="90">
        <f>IF(S12-T12&gt;0, S12-T12, 0)</f>
        <v>6</v>
      </c>
      <c r="V12" s="29" t="str">
        <f>I12</f>
        <v>relay / LED drivers</v>
      </c>
      <c r="W12" s="29" t="str">
        <f>H12</f>
        <v>Darlington transistor array (7)</v>
      </c>
      <c r="X12" s="29" t="str">
        <f>K12</f>
        <v>DigiKey</v>
      </c>
      <c r="Y12" s="30" t="str">
        <f>G12</f>
        <v>ULN2003AIN</v>
      </c>
      <c r="Z12" t="s">
        <v>143</v>
      </c>
      <c r="AA12" s="40"/>
    </row>
    <row r="13" spans="1:27" x14ac:dyDescent="0.2">
      <c r="A13" s="95"/>
      <c r="B13" s="150">
        <f t="shared" ref="B13" si="9">A13*Q13/F13</f>
        <v>0</v>
      </c>
      <c r="C13" s="8">
        <f t="shared" si="8"/>
        <v>5</v>
      </c>
      <c r="D13" s="48" t="s">
        <v>660</v>
      </c>
      <c r="E13" s="48" t="s">
        <v>616</v>
      </c>
      <c r="F13">
        <v>1</v>
      </c>
      <c r="G13" s="8" t="s">
        <v>621</v>
      </c>
      <c r="H13" t="s">
        <v>622</v>
      </c>
      <c r="I13" s="36" t="s">
        <v>625</v>
      </c>
      <c r="J13" s="29" t="s">
        <v>140</v>
      </c>
      <c r="K13" t="s">
        <v>142</v>
      </c>
      <c r="L13">
        <v>1</v>
      </c>
      <c r="M13" t="s">
        <v>24</v>
      </c>
      <c r="N13" s="3">
        <v>1.5</v>
      </c>
      <c r="O13" s="3"/>
      <c r="P13" s="3">
        <f t="shared" ref="P13" si="10">(O13+N13)*0.1</f>
        <v>0.15000000000000002</v>
      </c>
      <c r="Q13" s="4">
        <f t="shared" si="5"/>
        <v>1.65</v>
      </c>
      <c r="R13" s="4"/>
      <c r="S13">
        <f t="shared" si="6"/>
        <v>6</v>
      </c>
      <c r="T13">
        <f t="shared" ref="T13" si="11">A13</f>
        <v>0</v>
      </c>
      <c r="U13" s="90">
        <f t="shared" ref="U13" si="12">IF(S13-T13&gt;0, S13-T13, 0)</f>
        <v>6</v>
      </c>
      <c r="V13" s="29" t="str">
        <f t="shared" ref="V13" si="13">I13</f>
        <v>+5V power regulator</v>
      </c>
      <c r="W13" s="29" t="str">
        <f t="shared" ref="W13" si="14">H13</f>
        <v>NJR Corp 5v - 1A Voltage regulator</v>
      </c>
      <c r="X13" s="29" t="str">
        <f t="shared" ref="X13" si="15">K13</f>
        <v>DigiKey</v>
      </c>
      <c r="Y13" s="30" t="str">
        <f t="shared" ref="Y13" si="16">G13</f>
        <v>NJM7805FA-ND</v>
      </c>
      <c r="Z13" t="s">
        <v>143</v>
      </c>
      <c r="AA13" s="40"/>
    </row>
    <row r="14" spans="1:27" x14ac:dyDescent="0.2">
      <c r="A14" s="95"/>
      <c r="B14" s="150">
        <f>A14*Q14/F14</f>
        <v>0</v>
      </c>
      <c r="C14" s="8">
        <f t="shared" si="8"/>
        <v>6</v>
      </c>
      <c r="D14" s="48" t="s">
        <v>662</v>
      </c>
      <c r="E14" s="48" t="s">
        <v>616</v>
      </c>
      <c r="F14">
        <v>1</v>
      </c>
      <c r="G14" s="40" t="s">
        <v>619</v>
      </c>
      <c r="H14" s="48" t="s">
        <v>618</v>
      </c>
      <c r="I14" s="48" t="s">
        <v>620</v>
      </c>
      <c r="J14" s="29" t="s">
        <v>140</v>
      </c>
      <c r="K14" s="48" t="s">
        <v>669</v>
      </c>
      <c r="L14">
        <v>1</v>
      </c>
      <c r="M14" t="s">
        <v>24</v>
      </c>
      <c r="N14" s="3"/>
      <c r="O14" s="3">
        <v>20</v>
      </c>
      <c r="P14" s="3">
        <f>(O14+N14)*0.1</f>
        <v>2</v>
      </c>
      <c r="Q14" s="4">
        <f t="shared" si="5"/>
        <v>28</v>
      </c>
      <c r="R14" s="4"/>
      <c r="S14">
        <f t="shared" si="6"/>
        <v>6</v>
      </c>
      <c r="T14">
        <f>A14</f>
        <v>0</v>
      </c>
      <c r="U14" s="90">
        <f>IF(S14-T14&gt;0, S14-T14, 0)</f>
        <v>6</v>
      </c>
      <c r="V14" s="29" t="str">
        <f>I14</f>
        <v>13A PWM Module</v>
      </c>
      <c r="W14" s="29" t="str">
        <f>H14</f>
        <v>Cytron MD13S PWM module</v>
      </c>
      <c r="X14" s="29" t="str">
        <f>K14</f>
        <v>Cytron</v>
      </c>
      <c r="Y14" s="30" t="str">
        <f>G14</f>
        <v>MD13S</v>
      </c>
      <c r="Z14" t="s">
        <v>143</v>
      </c>
      <c r="AA14" s="40"/>
    </row>
    <row r="15" spans="1:27" x14ac:dyDescent="0.2">
      <c r="A15" s="95"/>
      <c r="B15" s="150">
        <f t="shared" ref="B15:B16" si="17">A15*Q15/F15</f>
        <v>0</v>
      </c>
      <c r="C15" s="8">
        <f t="shared" si="8"/>
        <v>7</v>
      </c>
      <c r="D15" s="48" t="s">
        <v>630</v>
      </c>
      <c r="E15" s="48" t="s">
        <v>616</v>
      </c>
      <c r="F15">
        <v>1</v>
      </c>
      <c r="G15" s="8" t="s">
        <v>627</v>
      </c>
      <c r="H15" t="s">
        <v>628</v>
      </c>
      <c r="I15" t="s">
        <v>629</v>
      </c>
      <c r="J15" s="29" t="s">
        <v>140</v>
      </c>
      <c r="K15" s="48" t="s">
        <v>633</v>
      </c>
      <c r="L15">
        <v>1</v>
      </c>
      <c r="M15" t="s">
        <v>24</v>
      </c>
      <c r="N15" s="3">
        <v>2.21</v>
      </c>
      <c r="O15" s="3"/>
      <c r="P15" s="3">
        <f t="shared" ref="P15:P16" si="18">(O15+N15)*0.1</f>
        <v>0.221</v>
      </c>
      <c r="Q15" s="4">
        <f t="shared" si="5"/>
        <v>2.431</v>
      </c>
      <c r="R15" s="4"/>
      <c r="S15">
        <f t="shared" si="6"/>
        <v>6</v>
      </c>
      <c r="T15">
        <f t="shared" ref="T15:T16" si="19">A15</f>
        <v>0</v>
      </c>
      <c r="U15" s="90">
        <f t="shared" ref="U15:U16" si="20">IF(S15-T15&gt;0, S15-T15, 0)</f>
        <v>6</v>
      </c>
      <c r="V15" s="29" t="str">
        <f t="shared" ref="V15:V16" si="21">I15</f>
        <v>Buzzer</v>
      </c>
      <c r="W15" s="29" t="str">
        <f t="shared" ref="W15:W16" si="22">H15</f>
        <v>Minature PC mount buzzer (Projects Unlimited)</v>
      </c>
      <c r="X15" s="29" t="str">
        <f t="shared" ref="X15:X16" si="23">K15</f>
        <v>Banggood</v>
      </c>
      <c r="Y15" s="30" t="str">
        <f t="shared" ref="Y15:Y16" si="24">G15</f>
        <v>61-221-0</v>
      </c>
      <c r="Z15" t="s">
        <v>143</v>
      </c>
      <c r="AA15" s="40"/>
    </row>
    <row r="16" spans="1:27" x14ac:dyDescent="0.2">
      <c r="A16" s="95"/>
      <c r="B16" s="150">
        <f t="shared" si="17"/>
        <v>0</v>
      </c>
      <c r="C16" s="8">
        <f t="shared" si="8"/>
        <v>8</v>
      </c>
      <c r="D16" s="48" t="s">
        <v>626</v>
      </c>
      <c r="E16" s="48" t="s">
        <v>616</v>
      </c>
      <c r="F16">
        <v>1</v>
      </c>
      <c r="G16" s="8" t="s">
        <v>777</v>
      </c>
      <c r="H16" s="48" t="s">
        <v>632</v>
      </c>
      <c r="I16" t="s">
        <v>631</v>
      </c>
      <c r="J16" s="29" t="s">
        <v>140</v>
      </c>
      <c r="K16" t="s">
        <v>142</v>
      </c>
      <c r="L16">
        <v>1</v>
      </c>
      <c r="M16" t="s">
        <v>24</v>
      </c>
      <c r="N16" s="3">
        <v>1.5</v>
      </c>
      <c r="O16" s="3"/>
      <c r="P16" s="3">
        <f t="shared" si="18"/>
        <v>0.15000000000000002</v>
      </c>
      <c r="Q16" s="4">
        <f t="shared" si="5"/>
        <v>1.65</v>
      </c>
      <c r="R16" s="4"/>
      <c r="S16">
        <f t="shared" si="6"/>
        <v>6</v>
      </c>
      <c r="T16">
        <f t="shared" si="19"/>
        <v>0</v>
      </c>
      <c r="U16" s="90">
        <f t="shared" si="20"/>
        <v>6</v>
      </c>
      <c r="V16" s="29" t="str">
        <f t="shared" si="21"/>
        <v>PIC oscillator</v>
      </c>
      <c r="W16" s="29" t="str">
        <f t="shared" si="22"/>
        <v>16MHz crystal - low profile</v>
      </c>
      <c r="X16" s="29" t="str">
        <f t="shared" si="23"/>
        <v>DigiKey</v>
      </c>
      <c r="Y16" s="30" t="str">
        <f t="shared" si="24"/>
        <v>2151-AS-16.000-20-EXT-ND</v>
      </c>
      <c r="Z16" t="s">
        <v>143</v>
      </c>
      <c r="AA16" s="40"/>
    </row>
    <row r="17" spans="1:34" x14ac:dyDescent="0.2">
      <c r="A17" s="152"/>
      <c r="B17" s="150">
        <f>A17*Q17/F17</f>
        <v>0</v>
      </c>
      <c r="C17" s="8">
        <f t="shared" si="8"/>
        <v>9</v>
      </c>
      <c r="D17" s="29" t="s">
        <v>289</v>
      </c>
      <c r="E17" s="48" t="s">
        <v>616</v>
      </c>
      <c r="F17">
        <v>1</v>
      </c>
      <c r="G17" s="40" t="s">
        <v>290</v>
      </c>
      <c r="H17" s="29" t="s">
        <v>293</v>
      </c>
      <c r="I17" s="29" t="s">
        <v>291</v>
      </c>
      <c r="J17" s="29" t="s">
        <v>140</v>
      </c>
      <c r="K17" t="s">
        <v>142</v>
      </c>
      <c r="L17">
        <v>2</v>
      </c>
      <c r="M17" t="s">
        <v>24</v>
      </c>
      <c r="N17" s="3">
        <v>9.75</v>
      </c>
      <c r="O17" s="3"/>
      <c r="P17" s="3">
        <f>(O17+N17)*0.1</f>
        <v>0.97500000000000009</v>
      </c>
      <c r="Q17" s="4">
        <f t="shared" si="5"/>
        <v>10.725</v>
      </c>
      <c r="R17" s="4"/>
      <c r="S17">
        <f t="shared" si="6"/>
        <v>6</v>
      </c>
      <c r="T17">
        <f>A17</f>
        <v>0</v>
      </c>
      <c r="U17" s="90">
        <f>IF(S17-T17&gt;0, S17-T17, 0)</f>
        <v>6</v>
      </c>
      <c r="V17" s="29" t="str">
        <f>I17</f>
        <v>main power relay - reverse polarity protect</v>
      </c>
      <c r="W17" s="29" t="e">
        <f>#REF!</f>
        <v>#REF!</v>
      </c>
      <c r="X17" s="29" t="str">
        <f>K17</f>
        <v>DigiKey</v>
      </c>
      <c r="Y17" s="30" t="str">
        <f>H17</f>
        <v>OMRON G2R-1A-E  2068W1  12V/16A</v>
      </c>
    </row>
    <row r="18" spans="1:34" x14ac:dyDescent="0.2">
      <c r="A18" s="95"/>
      <c r="B18" s="150">
        <f t="shared" ref="B18:B48" si="25">A18*Q18/F18</f>
        <v>0</v>
      </c>
      <c r="C18" s="8">
        <f t="shared" si="8"/>
        <v>10</v>
      </c>
      <c r="D18" s="48" t="s">
        <v>634</v>
      </c>
      <c r="E18" s="48" t="s">
        <v>616</v>
      </c>
      <c r="F18">
        <v>2</v>
      </c>
      <c r="G18" s="8"/>
      <c r="H18" s="48" t="s">
        <v>635</v>
      </c>
      <c r="I18" s="48" t="s">
        <v>636</v>
      </c>
      <c r="J18" s="29"/>
      <c r="K18" s="48" t="s">
        <v>633</v>
      </c>
      <c r="L18">
        <v>1</v>
      </c>
      <c r="M18" t="s">
        <v>24</v>
      </c>
      <c r="N18" s="3"/>
      <c r="O18" s="3">
        <v>0.25</v>
      </c>
      <c r="P18" s="3">
        <f t="shared" si="4"/>
        <v>2.5000000000000001E-2</v>
      </c>
      <c r="Q18" s="4">
        <f t="shared" si="5"/>
        <v>0.70000000000000007</v>
      </c>
      <c r="R18" s="4"/>
      <c r="S18">
        <f t="shared" si="6"/>
        <v>12</v>
      </c>
      <c r="T18">
        <f t="shared" si="7"/>
        <v>0</v>
      </c>
      <c r="U18" s="90">
        <f t="shared" ref="U18:U50" si="26">IF(S18-T18&gt;0, S18-T18, 0)</f>
        <v>12</v>
      </c>
      <c r="V18" s="29" t="str">
        <f t="shared" si="0"/>
        <v>resonator</v>
      </c>
      <c r="W18" s="29" t="str">
        <f t="shared" si="1"/>
        <v>22pF ceramic capacitor</v>
      </c>
      <c r="X18" s="29" t="str">
        <f t="shared" si="2"/>
        <v>Banggood</v>
      </c>
      <c r="Y18" s="30">
        <f t="shared" si="3"/>
        <v>0</v>
      </c>
      <c r="Z18" t="s">
        <v>143</v>
      </c>
      <c r="AA18" s="40"/>
    </row>
    <row r="19" spans="1:34" x14ac:dyDescent="0.2">
      <c r="A19" s="151"/>
      <c r="B19" s="150">
        <f t="shared" ref="B19" si="27">A19*Q19/F19</f>
        <v>0</v>
      </c>
      <c r="C19" s="8">
        <f t="shared" si="8"/>
        <v>11</v>
      </c>
      <c r="D19" s="29" t="s">
        <v>211</v>
      </c>
      <c r="E19" s="48" t="s">
        <v>616</v>
      </c>
      <c r="F19">
        <v>1</v>
      </c>
      <c r="G19" s="30" t="s">
        <v>191</v>
      </c>
      <c r="H19" t="s">
        <v>188</v>
      </c>
      <c r="I19" s="36" t="s">
        <v>189</v>
      </c>
      <c r="J19" s="29" t="s">
        <v>140</v>
      </c>
      <c r="K19" t="s">
        <v>142</v>
      </c>
      <c r="L19">
        <v>1</v>
      </c>
      <c r="M19" t="s">
        <v>24</v>
      </c>
      <c r="N19" s="3">
        <v>1</v>
      </c>
      <c r="O19" s="3"/>
      <c r="P19" s="3">
        <f t="shared" ref="P19" si="28">(O19+N19)*0.1</f>
        <v>0.1</v>
      </c>
      <c r="Q19" s="4">
        <f t="shared" si="5"/>
        <v>1.1000000000000001</v>
      </c>
      <c r="R19" s="4"/>
      <c r="S19">
        <f t="shared" si="6"/>
        <v>6</v>
      </c>
      <c r="T19">
        <f t="shared" ref="T19" si="29">A19</f>
        <v>0</v>
      </c>
      <c r="U19" s="90">
        <f t="shared" ref="U19" si="30">IF(S19-T19&gt;0, S19-T19, 0)</f>
        <v>6</v>
      </c>
      <c r="V19" s="29" t="str">
        <f t="shared" ref="V19" si="31">I19</f>
        <v>+12V power supply</v>
      </c>
      <c r="W19" s="29" t="str">
        <f t="shared" ref="W19" si="32">H19</f>
        <v>1000 microfarad ELECTROLYTIC (16V) cap</v>
      </c>
      <c r="X19" s="29" t="str">
        <f t="shared" ref="X19" si="33">K19</f>
        <v>DigiKey</v>
      </c>
      <c r="Y19" s="30" t="str">
        <f t="shared" ref="Y19" si="34">G19</f>
        <v>P5142-ND</v>
      </c>
      <c r="Z19" t="s">
        <v>143</v>
      </c>
    </row>
    <row r="20" spans="1:34" x14ac:dyDescent="0.2">
      <c r="A20" s="151"/>
      <c r="B20" s="150">
        <f t="shared" si="25"/>
        <v>0</v>
      </c>
      <c r="C20" s="8">
        <f t="shared" si="8"/>
        <v>12</v>
      </c>
      <c r="D20" s="48" t="s">
        <v>654</v>
      </c>
      <c r="E20" s="48" t="s">
        <v>616</v>
      </c>
      <c r="F20">
        <v>2</v>
      </c>
      <c r="G20" s="40" t="s">
        <v>650</v>
      </c>
      <c r="H20" s="48" t="s">
        <v>649</v>
      </c>
      <c r="I20" s="36" t="s">
        <v>189</v>
      </c>
      <c r="J20" s="29" t="s">
        <v>140</v>
      </c>
      <c r="K20" t="s">
        <v>142</v>
      </c>
      <c r="L20">
        <v>1</v>
      </c>
      <c r="M20" t="s">
        <v>24</v>
      </c>
      <c r="N20" s="3">
        <v>1.5</v>
      </c>
      <c r="O20" s="3"/>
      <c r="P20" s="3">
        <f t="shared" si="4"/>
        <v>0.15000000000000002</v>
      </c>
      <c r="Q20" s="4">
        <f t="shared" si="5"/>
        <v>3.3</v>
      </c>
      <c r="R20" s="4"/>
      <c r="S20">
        <f t="shared" si="6"/>
        <v>12</v>
      </c>
      <c r="T20">
        <f t="shared" si="7"/>
        <v>0</v>
      </c>
      <c r="U20" s="90">
        <f t="shared" si="26"/>
        <v>12</v>
      </c>
      <c r="V20" s="29" t="str">
        <f t="shared" si="0"/>
        <v>+12V power supply</v>
      </c>
      <c r="W20" s="29" t="str">
        <f t="shared" si="1"/>
        <v>10 microfarad ELECTROLYTIC (16V) cap</v>
      </c>
      <c r="X20" s="29" t="str">
        <f t="shared" si="2"/>
        <v>DigiKey</v>
      </c>
      <c r="Y20" s="30" t="str">
        <f t="shared" si="3"/>
        <v>P2038-ND</v>
      </c>
      <c r="Z20" t="s">
        <v>143</v>
      </c>
    </row>
    <row r="21" spans="1:34" x14ac:dyDescent="0.2">
      <c r="A21" s="151"/>
      <c r="B21" s="150">
        <f t="shared" si="25"/>
        <v>0</v>
      </c>
      <c r="C21" s="8">
        <f t="shared" si="8"/>
        <v>13</v>
      </c>
      <c r="D21" s="48" t="s">
        <v>670</v>
      </c>
      <c r="E21" s="48" t="s">
        <v>616</v>
      </c>
      <c r="F21">
        <v>6</v>
      </c>
      <c r="G21" s="8" t="s">
        <v>780</v>
      </c>
      <c r="H21" t="s">
        <v>651</v>
      </c>
      <c r="I21" t="s">
        <v>779</v>
      </c>
      <c r="J21" t="s">
        <v>23</v>
      </c>
      <c r="K21" t="s">
        <v>142</v>
      </c>
      <c r="L21">
        <v>1</v>
      </c>
      <c r="M21" t="s">
        <v>24</v>
      </c>
      <c r="N21" s="3">
        <v>0.6</v>
      </c>
      <c r="O21" s="3"/>
      <c r="P21" s="3">
        <f t="shared" ref="P21:P23" si="35">(O21+N21)*0.1</f>
        <v>0.06</v>
      </c>
      <c r="Q21" s="4">
        <f t="shared" si="5"/>
        <v>3.9599999999999995</v>
      </c>
      <c r="R21" s="4"/>
      <c r="S21">
        <f t="shared" ref="S21:S23" si="36">$R$7*F21</f>
        <v>0</v>
      </c>
      <c r="V21">
        <f t="shared" ref="V21" si="37">S21-T21</f>
        <v>0</v>
      </c>
      <c r="W21" s="48" t="str">
        <f t="shared" ref="W21" si="38">I21</f>
        <v>by-pass</v>
      </c>
      <c r="X21" s="48" t="str">
        <f t="shared" ref="X21:X23" si="39">H21</f>
        <v xml:space="preserve">0.47 microfarad ceramic cap (50V) </v>
      </c>
      <c r="Y21" s="48" t="str">
        <f t="shared" ref="Y21" si="40">K21</f>
        <v>DigiKey</v>
      </c>
      <c r="Z21" s="40" t="str">
        <f t="shared" ref="Z21:Z23" si="41">G21</f>
        <v>399-4309-ND</v>
      </c>
      <c r="AA21" t="s">
        <v>143</v>
      </c>
      <c r="AC21" s="48"/>
      <c r="AD21" s="48"/>
      <c r="AE21" s="194">
        <f t="shared" ref="AE21:AG23" si="42">N21</f>
        <v>0.6</v>
      </c>
      <c r="AF21" s="194">
        <f t="shared" si="42"/>
        <v>0</v>
      </c>
      <c r="AG21" s="194">
        <f t="shared" si="42"/>
        <v>0.06</v>
      </c>
      <c r="AH21" s="194" t="e">
        <f t="shared" ref="AH21:AH23" si="43">(AG21+AF21*$M$8+AE21)*V21</f>
        <v>#VALUE!</v>
      </c>
    </row>
    <row r="22" spans="1:34" x14ac:dyDescent="0.2">
      <c r="A22" s="151"/>
      <c r="B22" s="150">
        <f t="shared" ref="B22" si="44">A22*Q22/F22</f>
        <v>0</v>
      </c>
      <c r="C22" s="8">
        <f t="shared" si="8"/>
        <v>14</v>
      </c>
      <c r="D22" s="48" t="s">
        <v>766</v>
      </c>
      <c r="E22" s="48" t="s">
        <v>616</v>
      </c>
      <c r="F22">
        <v>1</v>
      </c>
      <c r="G22" s="8"/>
      <c r="H22" t="s">
        <v>767</v>
      </c>
      <c r="I22" t="s">
        <v>768</v>
      </c>
      <c r="J22" t="s">
        <v>23</v>
      </c>
      <c r="K22" t="s">
        <v>142</v>
      </c>
      <c r="L22">
        <v>1</v>
      </c>
      <c r="M22" t="s">
        <v>24</v>
      </c>
      <c r="N22" s="3">
        <v>1.25</v>
      </c>
      <c r="O22" s="3"/>
      <c r="P22" s="3">
        <f t="shared" ref="P22" si="45">(O22+N22)*0.1</f>
        <v>0.125</v>
      </c>
      <c r="Q22" s="4">
        <f t="shared" si="5"/>
        <v>1.375</v>
      </c>
      <c r="R22" s="4"/>
      <c r="S22">
        <f t="shared" ref="S22" si="46">$R$7*F22</f>
        <v>0</v>
      </c>
      <c r="V22">
        <f t="shared" ref="V22" si="47">S22-T22</f>
        <v>0</v>
      </c>
      <c r="W22" s="48" t="str">
        <f t="shared" ref="W22" si="48">I22</f>
        <v>V sense resistor bridge by-pass</v>
      </c>
      <c r="X22" s="48" t="str">
        <f t="shared" ref="X22" si="49">H22</f>
        <v xml:space="preserve">4.7 nanofarad ceramic cap (50V) </v>
      </c>
      <c r="Y22" s="48" t="str">
        <f t="shared" ref="Y22" si="50">K22</f>
        <v>DigiKey</v>
      </c>
      <c r="Z22" s="40">
        <f t="shared" ref="Z22" si="51">G22</f>
        <v>0</v>
      </c>
      <c r="AA22" t="s">
        <v>143</v>
      </c>
      <c r="AC22" s="48"/>
      <c r="AD22" s="48"/>
      <c r="AE22" s="194">
        <f t="shared" ref="AE22" si="52">N22</f>
        <v>1.25</v>
      </c>
      <c r="AF22" s="194">
        <f t="shared" ref="AF22" si="53">O22</f>
        <v>0</v>
      </c>
      <c r="AG22" s="194">
        <f t="shared" ref="AG22" si="54">P22</f>
        <v>0.125</v>
      </c>
      <c r="AH22" s="194" t="e">
        <f t="shared" ref="AH22" si="55">(AG22+AF22*$M$8+AE22)*V22</f>
        <v>#VALUE!</v>
      </c>
    </row>
    <row r="23" spans="1:34" x14ac:dyDescent="0.2">
      <c r="A23" s="151"/>
      <c r="B23" s="150">
        <f t="shared" si="25"/>
        <v>0</v>
      </c>
      <c r="C23" s="8">
        <f t="shared" si="8"/>
        <v>15</v>
      </c>
      <c r="D23" s="48" t="s">
        <v>682</v>
      </c>
      <c r="E23" s="48" t="s">
        <v>616</v>
      </c>
      <c r="F23">
        <v>1</v>
      </c>
      <c r="G23" s="8" t="s">
        <v>652</v>
      </c>
      <c r="H23" s="48" t="s">
        <v>683</v>
      </c>
      <c r="I23" s="48" t="s">
        <v>684</v>
      </c>
      <c r="J23" t="s">
        <v>23</v>
      </c>
      <c r="K23" t="s">
        <v>142</v>
      </c>
      <c r="L23">
        <v>1</v>
      </c>
      <c r="M23" t="s">
        <v>24</v>
      </c>
      <c r="N23" s="3">
        <v>1.22</v>
      </c>
      <c r="O23" s="3"/>
      <c r="P23" s="3">
        <f t="shared" si="35"/>
        <v>0.122</v>
      </c>
      <c r="Q23" s="4">
        <f t="shared" si="5"/>
        <v>1.3420000000000001</v>
      </c>
      <c r="R23" s="4"/>
      <c r="S23">
        <f t="shared" si="36"/>
        <v>0</v>
      </c>
      <c r="V23">
        <f>S23-T23</f>
        <v>0</v>
      </c>
      <c r="W23" s="48" t="str">
        <f>I23</f>
        <v>Arduino reset line</v>
      </c>
      <c r="X23" s="48" t="str">
        <f t="shared" si="39"/>
        <v>.1uF ceramic cap (50V)</v>
      </c>
      <c r="Y23" s="48" t="str">
        <f>K23</f>
        <v>DigiKey</v>
      </c>
      <c r="Z23" s="40" t="str">
        <f t="shared" si="41"/>
        <v>P4944-ND</v>
      </c>
      <c r="AA23" t="s">
        <v>143</v>
      </c>
      <c r="AC23" s="48"/>
      <c r="AD23" s="48"/>
      <c r="AE23" s="194">
        <f t="shared" si="42"/>
        <v>1.22</v>
      </c>
      <c r="AF23" s="194">
        <f t="shared" si="42"/>
        <v>0</v>
      </c>
      <c r="AG23" s="194">
        <f t="shared" si="42"/>
        <v>0.122</v>
      </c>
      <c r="AH23" s="194" t="e">
        <f t="shared" si="43"/>
        <v>#VALUE!</v>
      </c>
    </row>
    <row r="24" spans="1:34" x14ac:dyDescent="0.2">
      <c r="A24" s="152"/>
      <c r="B24" s="150">
        <f t="shared" si="25"/>
        <v>0</v>
      </c>
      <c r="C24" s="8">
        <f t="shared" si="8"/>
        <v>16</v>
      </c>
      <c r="D24" s="48" t="s">
        <v>765</v>
      </c>
      <c r="E24" s="48" t="s">
        <v>616</v>
      </c>
      <c r="F24">
        <v>1</v>
      </c>
      <c r="G24" s="40" t="s">
        <v>716</v>
      </c>
      <c r="H24" s="29" t="s">
        <v>287</v>
      </c>
      <c r="I24" s="29" t="s">
        <v>284</v>
      </c>
      <c r="J24" s="29" t="s">
        <v>140</v>
      </c>
      <c r="K24" t="s">
        <v>142</v>
      </c>
      <c r="L24">
        <v>1</v>
      </c>
      <c r="M24" t="s">
        <v>24</v>
      </c>
      <c r="N24" s="3">
        <v>2.5</v>
      </c>
      <c r="O24" s="3"/>
      <c r="P24" s="3">
        <f t="shared" si="4"/>
        <v>0.25</v>
      </c>
      <c r="Q24" s="4">
        <f t="shared" si="5"/>
        <v>2.75</v>
      </c>
      <c r="R24" s="4"/>
      <c r="S24">
        <f t="shared" ref="S24:S39" si="56">$T$68*F24</f>
        <v>6</v>
      </c>
      <c r="T24">
        <f t="shared" si="7"/>
        <v>0</v>
      </c>
      <c r="U24" s="90">
        <f t="shared" si="26"/>
        <v>6</v>
      </c>
      <c r="V24" s="29" t="str">
        <f t="shared" si="0"/>
        <v>Polythermal current limiter - 14A</v>
      </c>
      <c r="W24" s="29" t="str">
        <f t="shared" si="1"/>
        <v>14A PTC</v>
      </c>
      <c r="X24" s="29" t="str">
        <f t="shared" si="2"/>
        <v>DigiKey</v>
      </c>
      <c r="Y24" s="30" t="str">
        <f t="shared" si="3"/>
        <v>18-AHRL 1400-ND</v>
      </c>
      <c r="Z24" t="s">
        <v>143</v>
      </c>
      <c r="AA24" s="40"/>
    </row>
    <row r="25" spans="1:34" x14ac:dyDescent="0.2">
      <c r="A25" s="152"/>
      <c r="B25" s="150">
        <f t="shared" si="25"/>
        <v>0</v>
      </c>
      <c r="C25" s="8">
        <f t="shared" si="8"/>
        <v>17</v>
      </c>
      <c r="D25" s="48" t="s">
        <v>769</v>
      </c>
      <c r="E25" s="48" t="s">
        <v>616</v>
      </c>
      <c r="F25">
        <v>2</v>
      </c>
      <c r="G25" s="40" t="s">
        <v>775</v>
      </c>
      <c r="H25" t="s">
        <v>210</v>
      </c>
      <c r="I25" s="29" t="s">
        <v>292</v>
      </c>
      <c r="J25" s="29" t="s">
        <v>140</v>
      </c>
      <c r="K25" t="s">
        <v>142</v>
      </c>
      <c r="L25">
        <v>1</v>
      </c>
      <c r="M25" t="s">
        <v>24</v>
      </c>
      <c r="N25" s="3">
        <v>0.75</v>
      </c>
      <c r="O25" s="3"/>
      <c r="P25" s="3">
        <f t="shared" si="4"/>
        <v>7.5000000000000011E-2</v>
      </c>
      <c r="Q25" s="4">
        <f t="shared" si="5"/>
        <v>1.65</v>
      </c>
      <c r="R25" s="4"/>
      <c r="S25">
        <f t="shared" si="56"/>
        <v>12</v>
      </c>
      <c r="T25">
        <f t="shared" si="7"/>
        <v>0</v>
      </c>
      <c r="U25" s="90">
        <f t="shared" si="26"/>
        <v>12</v>
      </c>
      <c r="V25" s="29" t="str">
        <f t="shared" si="0"/>
        <v>reverse polarity protect - main power relay</v>
      </c>
      <c r="W25" s="29" t="str">
        <f t="shared" si="1"/>
        <v>power diode</v>
      </c>
      <c r="X25" s="29" t="str">
        <f t="shared" si="2"/>
        <v>DigiKey</v>
      </c>
      <c r="Y25" s="30" t="str">
        <f t="shared" si="3"/>
        <v>1N4001GP-E3/73</v>
      </c>
      <c r="Z25" t="s">
        <v>143</v>
      </c>
    </row>
    <row r="26" spans="1:34" x14ac:dyDescent="0.2">
      <c r="A26" s="152"/>
      <c r="B26" s="150">
        <f t="shared" si="25"/>
        <v>0</v>
      </c>
      <c r="C26" s="8">
        <f t="shared" si="8"/>
        <v>18</v>
      </c>
      <c r="D26" s="48" t="s">
        <v>770</v>
      </c>
      <c r="E26" s="48" t="s">
        <v>616</v>
      </c>
      <c r="F26">
        <v>4</v>
      </c>
      <c r="G26" s="30" t="s">
        <v>332</v>
      </c>
      <c r="H26" s="29" t="s">
        <v>333</v>
      </c>
      <c r="I26" t="s">
        <v>209</v>
      </c>
      <c r="J26" s="29" t="s">
        <v>140</v>
      </c>
      <c r="K26" t="s">
        <v>142</v>
      </c>
      <c r="L26">
        <v>1</v>
      </c>
      <c r="M26" t="s">
        <v>24</v>
      </c>
      <c r="N26" s="3">
        <v>0.5</v>
      </c>
      <c r="O26" s="3"/>
      <c r="P26" s="3">
        <f t="shared" si="4"/>
        <v>0.05</v>
      </c>
      <c r="Q26" s="4">
        <f t="shared" si="5"/>
        <v>2.2000000000000002</v>
      </c>
      <c r="R26" s="4"/>
      <c r="S26">
        <f t="shared" si="56"/>
        <v>24</v>
      </c>
      <c r="T26">
        <f t="shared" si="7"/>
        <v>0</v>
      </c>
      <c r="U26" s="90">
        <f t="shared" si="26"/>
        <v>24</v>
      </c>
      <c r="V26" s="29" t="str">
        <f t="shared" si="0"/>
        <v>reverse polarity protection</v>
      </c>
      <c r="W26" s="29" t="str">
        <f t="shared" si="1"/>
        <v>BAT48 40V schotky diode</v>
      </c>
      <c r="X26" s="29" t="str">
        <f t="shared" si="2"/>
        <v>DigiKey</v>
      </c>
      <c r="Y26" s="30" t="str">
        <f t="shared" si="3"/>
        <v>497-2512-1-ND</v>
      </c>
      <c r="Z26" t="s">
        <v>143</v>
      </c>
    </row>
    <row r="27" spans="1:34" x14ac:dyDescent="0.2">
      <c r="A27" s="152"/>
      <c r="B27" s="150">
        <f t="shared" si="25"/>
        <v>0</v>
      </c>
      <c r="C27" s="8">
        <f t="shared" si="8"/>
        <v>19</v>
      </c>
      <c r="D27" s="48" t="s">
        <v>653</v>
      </c>
      <c r="E27" s="48" t="s">
        <v>616</v>
      </c>
      <c r="F27">
        <v>6</v>
      </c>
      <c r="G27" s="8" t="s">
        <v>387</v>
      </c>
      <c r="H27" t="s">
        <v>384</v>
      </c>
      <c r="I27" s="29" t="s">
        <v>288</v>
      </c>
      <c r="J27" s="29" t="s">
        <v>140</v>
      </c>
      <c r="K27" t="s">
        <v>142</v>
      </c>
      <c r="L27">
        <v>1</v>
      </c>
      <c r="M27" t="s">
        <v>24</v>
      </c>
      <c r="N27" s="3">
        <v>1.1000000000000001</v>
      </c>
      <c r="O27" s="3"/>
      <c r="P27" s="3">
        <f t="shared" si="4"/>
        <v>0.11000000000000001</v>
      </c>
      <c r="Q27" s="4">
        <f t="shared" si="5"/>
        <v>7.2600000000000016</v>
      </c>
      <c r="R27" s="4"/>
      <c r="S27">
        <f t="shared" si="56"/>
        <v>36</v>
      </c>
      <c r="T27">
        <f t="shared" si="7"/>
        <v>0</v>
      </c>
      <c r="U27" s="90">
        <f t="shared" si="26"/>
        <v>36</v>
      </c>
      <c r="V27" s="29" t="str">
        <f t="shared" si="0"/>
        <v>indicator LEDs</v>
      </c>
      <c r="W27" s="29" t="str">
        <f t="shared" si="1"/>
        <v>high brightness RED LED (30mA) pg 583</v>
      </c>
      <c r="X27" s="29" t="str">
        <f t="shared" si="2"/>
        <v>DigiKey</v>
      </c>
      <c r="Y27" s="30" t="str">
        <f t="shared" si="3"/>
        <v>XLM2MR12W</v>
      </c>
      <c r="Z27" t="s">
        <v>143</v>
      </c>
    </row>
    <row r="28" spans="1:34" x14ac:dyDescent="0.2">
      <c r="A28" s="152"/>
      <c r="B28" s="150">
        <f>A28*Q28/F28</f>
        <v>0</v>
      </c>
      <c r="C28" s="8">
        <f t="shared" si="8"/>
        <v>20</v>
      </c>
      <c r="D28" s="48" t="s">
        <v>171</v>
      </c>
      <c r="E28" s="48" t="s">
        <v>616</v>
      </c>
      <c r="F28">
        <v>1</v>
      </c>
      <c r="G28" s="40" t="s">
        <v>706</v>
      </c>
      <c r="H28" s="48" t="s">
        <v>707</v>
      </c>
      <c r="I28" s="48" t="s">
        <v>610</v>
      </c>
      <c r="J28" s="29" t="s">
        <v>140</v>
      </c>
      <c r="K28" t="s">
        <v>142</v>
      </c>
      <c r="L28">
        <v>1</v>
      </c>
      <c r="M28" t="s">
        <v>24</v>
      </c>
      <c r="N28" s="3">
        <v>0.1</v>
      </c>
      <c r="O28" s="3"/>
      <c r="P28" s="3">
        <v>0.1</v>
      </c>
      <c r="Q28" s="4">
        <f t="shared" si="5"/>
        <v>0.2</v>
      </c>
      <c r="R28" s="4"/>
      <c r="S28">
        <f t="shared" si="56"/>
        <v>6</v>
      </c>
      <c r="T28">
        <f>A28</f>
        <v>0</v>
      </c>
      <c r="U28" s="90">
        <f>IF(S28-T28&gt;0, S28-T28, 0)</f>
        <v>6</v>
      </c>
      <c r="V28" s="29" t="str">
        <f>I28</f>
        <v>Windlass LED shunt</v>
      </c>
      <c r="W28" s="29" t="str">
        <f>H28</f>
        <v>470R - 5% 1/4 W resistor</v>
      </c>
      <c r="X28" s="29" t="str">
        <f>K28</f>
        <v>DigiKey</v>
      </c>
      <c r="Y28" s="30" t="str">
        <f>G28</f>
        <v>470QBK-ND‎</v>
      </c>
      <c r="Z28" t="s">
        <v>143</v>
      </c>
    </row>
    <row r="29" spans="1:34" ht="25.5" x14ac:dyDescent="0.2">
      <c r="A29" s="152"/>
      <c r="B29" s="150">
        <f t="shared" ref="B29" si="57">A29*Q29/F29</f>
        <v>0</v>
      </c>
      <c r="C29" s="8">
        <f t="shared" si="8"/>
        <v>21</v>
      </c>
      <c r="D29" s="48" t="s">
        <v>609</v>
      </c>
      <c r="E29" s="48" t="s">
        <v>616</v>
      </c>
      <c r="F29">
        <v>1</v>
      </c>
      <c r="G29" s="212" t="s">
        <v>703</v>
      </c>
      <c r="H29" s="48" t="s">
        <v>704</v>
      </c>
      <c r="I29" s="48" t="s">
        <v>608</v>
      </c>
      <c r="J29" s="29" t="s">
        <v>140</v>
      </c>
      <c r="K29" t="s">
        <v>142</v>
      </c>
      <c r="L29">
        <v>1</v>
      </c>
      <c r="M29" t="s">
        <v>24</v>
      </c>
      <c r="N29" s="3">
        <v>0.4</v>
      </c>
      <c r="O29" s="3"/>
      <c r="P29" s="3">
        <v>0.1</v>
      </c>
      <c r="Q29" s="4">
        <f t="shared" si="5"/>
        <v>0.5</v>
      </c>
      <c r="R29" s="4"/>
      <c r="S29">
        <f t="shared" si="56"/>
        <v>6</v>
      </c>
      <c r="T29">
        <f t="shared" ref="T29" si="58">A29</f>
        <v>0</v>
      </c>
      <c r="U29" s="90">
        <f t="shared" ref="U29" si="59">IF(S29-T29&gt;0, S29-T29, 0)</f>
        <v>6</v>
      </c>
      <c r="V29" s="29" t="str">
        <f t="shared" ref="V29" si="60">I29</f>
        <v xml:space="preserve">VOLTAGE REF </v>
      </c>
      <c r="W29" s="29" t="str">
        <f t="shared" ref="W29" si="61">H29</f>
        <v>4.99K - 1% 1/8 W resistor</v>
      </c>
      <c r="X29" s="29" t="str">
        <f t="shared" ref="X29" si="62">K29</f>
        <v>DigiKey</v>
      </c>
      <c r="Y29" s="30" t="str">
        <f t="shared" ref="Y29" si="63">G29</f>
        <v xml:space="preserve">	
4.99KXBK-ND</v>
      </c>
      <c r="Z29" t="s">
        <v>143</v>
      </c>
    </row>
    <row r="30" spans="1:34" x14ac:dyDescent="0.2">
      <c r="A30" s="152"/>
      <c r="B30" s="150">
        <f>A30*Q30/F30</f>
        <v>0</v>
      </c>
      <c r="C30" s="8">
        <f t="shared" si="8"/>
        <v>22</v>
      </c>
      <c r="D30" s="48" t="s">
        <v>680</v>
      </c>
      <c r="E30" s="48" t="s">
        <v>616</v>
      </c>
      <c r="F30">
        <v>1</v>
      </c>
      <c r="G30" s="30" t="s">
        <v>155</v>
      </c>
      <c r="H30" s="48" t="s">
        <v>427</v>
      </c>
      <c r="I30" s="29" t="s">
        <v>314</v>
      </c>
      <c r="J30" s="29" t="s">
        <v>140</v>
      </c>
      <c r="K30" t="s">
        <v>142</v>
      </c>
      <c r="L30">
        <v>1</v>
      </c>
      <c r="M30" t="s">
        <v>24</v>
      </c>
      <c r="N30" s="3">
        <v>0.1</v>
      </c>
      <c r="O30" s="3"/>
      <c r="P30" s="3">
        <f>(O30+N30)*0.1</f>
        <v>1.0000000000000002E-2</v>
      </c>
      <c r="Q30" s="4">
        <f t="shared" si="5"/>
        <v>0.11000000000000001</v>
      </c>
      <c r="R30" s="4"/>
      <c r="S30">
        <f t="shared" si="56"/>
        <v>6</v>
      </c>
      <c r="T30">
        <f>A30</f>
        <v>0</v>
      </c>
      <c r="U30" s="90">
        <f>IF(S30-T30&gt;0, S30-T30, 0)</f>
        <v>6</v>
      </c>
      <c r="V30" s="29" t="str">
        <f>I30</f>
        <v>LED resistor</v>
      </c>
      <c r="W30" s="29" t="str">
        <f t="shared" ref="W30" si="64">H30</f>
        <v>1K - 5% 1/8 W resistor</v>
      </c>
      <c r="X30" s="29" t="str">
        <f>K30</f>
        <v>DigiKey</v>
      </c>
      <c r="Y30" s="30" t="str">
        <f t="shared" ref="Y30" si="65">G30</f>
        <v>1KEBK-ND</v>
      </c>
      <c r="Z30" t="s">
        <v>143</v>
      </c>
    </row>
    <row r="31" spans="1:34" ht="25.5" x14ac:dyDescent="0.2">
      <c r="A31" s="152"/>
      <c r="B31" s="150">
        <f>A31*Q31/F31</f>
        <v>0</v>
      </c>
      <c r="C31" s="8">
        <f t="shared" si="8"/>
        <v>23</v>
      </c>
      <c r="D31" s="48" t="s">
        <v>679</v>
      </c>
      <c r="E31" s="48" t="s">
        <v>616</v>
      </c>
      <c r="F31">
        <v>1</v>
      </c>
      <c r="G31" s="212" t="s">
        <v>702</v>
      </c>
      <c r="H31" s="48" t="s">
        <v>705</v>
      </c>
      <c r="I31" s="48" t="s">
        <v>608</v>
      </c>
      <c r="J31" s="29" t="s">
        <v>140</v>
      </c>
      <c r="K31" t="s">
        <v>142</v>
      </c>
      <c r="L31">
        <v>1</v>
      </c>
      <c r="M31" t="s">
        <v>24</v>
      </c>
      <c r="N31" s="3">
        <v>0.4</v>
      </c>
      <c r="O31" s="3"/>
      <c r="P31" s="3">
        <v>0.1</v>
      </c>
      <c r="Q31" s="4">
        <f t="shared" si="5"/>
        <v>0.5</v>
      </c>
      <c r="R31" s="4"/>
      <c r="S31">
        <f t="shared" si="56"/>
        <v>6</v>
      </c>
      <c r="T31">
        <f>A31</f>
        <v>0</v>
      </c>
      <c r="U31" s="90">
        <f>IF(S31-T31&gt;0, S31-T31, 0)</f>
        <v>6</v>
      </c>
      <c r="V31" s="29" t="str">
        <f t="shared" ref="V31" si="66">I31</f>
        <v xml:space="preserve">VOLTAGE REF </v>
      </c>
      <c r="W31" s="29" t="str">
        <f t="shared" ref="W31" si="67">H31</f>
        <v>11.0K - 1% 1/8 W resistor</v>
      </c>
      <c r="X31" s="29" t="str">
        <f t="shared" ref="X31" si="68">K31</f>
        <v>DigiKey</v>
      </c>
      <c r="Y31" s="30" t="str">
        <f t="shared" ref="Y31" si="69">G31</f>
        <v xml:space="preserve">	
11.0KXBK-ND</v>
      </c>
      <c r="Z31" t="s">
        <v>143</v>
      </c>
    </row>
    <row r="32" spans="1:34" x14ac:dyDescent="0.2">
      <c r="A32" s="152"/>
      <c r="B32" s="150">
        <f t="shared" ref="B32:B36" si="70">A32*Q32/F32</f>
        <v>0</v>
      </c>
      <c r="C32" s="8">
        <f t="shared" si="8"/>
        <v>24</v>
      </c>
      <c r="D32" s="48" t="s">
        <v>553</v>
      </c>
      <c r="E32" s="48" t="s">
        <v>616</v>
      </c>
      <c r="F32">
        <v>1</v>
      </c>
      <c r="G32" s="40" t="s">
        <v>157</v>
      </c>
      <c r="H32" s="48" t="s">
        <v>428</v>
      </c>
      <c r="I32" s="48" t="s">
        <v>681</v>
      </c>
      <c r="J32" s="29" t="s">
        <v>140</v>
      </c>
      <c r="K32" t="s">
        <v>142</v>
      </c>
      <c r="L32">
        <v>1</v>
      </c>
      <c r="M32" t="s">
        <v>24</v>
      </c>
      <c r="N32" s="3">
        <v>0.75</v>
      </c>
      <c r="O32" s="3"/>
      <c r="P32" s="3">
        <f t="shared" ref="P32" si="71">(O32+N32)*0.1</f>
        <v>7.5000000000000011E-2</v>
      </c>
      <c r="Q32" s="4">
        <f t="shared" si="5"/>
        <v>0.82499999999999996</v>
      </c>
      <c r="R32" s="4"/>
      <c r="S32">
        <f t="shared" si="56"/>
        <v>6</v>
      </c>
      <c r="T32">
        <f t="shared" ref="T32" si="72">A32</f>
        <v>0</v>
      </c>
      <c r="U32" s="90">
        <f t="shared" ref="U32" si="73">IF(S32-T32&gt;0, S32-T32, 0)</f>
        <v>6</v>
      </c>
      <c r="V32" s="29" t="str">
        <f>I32</f>
        <v>pull up for ULN2003</v>
      </c>
      <c r="W32" s="29" t="str">
        <f t="shared" ref="W32" si="74">H32</f>
        <v>10K - 5% 1/8 W resistor</v>
      </c>
      <c r="X32" s="29" t="str">
        <f>K32</f>
        <v>DigiKey</v>
      </c>
      <c r="Y32" s="30" t="str">
        <f t="shared" ref="Y32" si="75">G32</f>
        <v>10KEBK-ND</v>
      </c>
      <c r="Z32" t="s">
        <v>143</v>
      </c>
    </row>
    <row r="33" spans="1:27" x14ac:dyDescent="0.2">
      <c r="A33" s="152"/>
      <c r="B33" s="150">
        <f t="shared" si="70"/>
        <v>0</v>
      </c>
      <c r="C33" s="8">
        <f t="shared" si="8"/>
        <v>25</v>
      </c>
      <c r="D33" s="48" t="s">
        <v>607</v>
      </c>
      <c r="E33" s="48" t="s">
        <v>616</v>
      </c>
      <c r="F33">
        <v>1</v>
      </c>
      <c r="G33" s="40" t="s">
        <v>674</v>
      </c>
      <c r="H33" s="48" t="s">
        <v>675</v>
      </c>
      <c r="I33" s="48" t="s">
        <v>678</v>
      </c>
      <c r="J33" s="29" t="s">
        <v>140</v>
      </c>
      <c r="K33" t="s">
        <v>142</v>
      </c>
      <c r="L33">
        <v>1</v>
      </c>
      <c r="M33" t="s">
        <v>24</v>
      </c>
      <c r="N33" s="3">
        <v>1.9</v>
      </c>
      <c r="O33" s="3"/>
      <c r="P33" s="3">
        <f t="shared" ref="P33" si="76">(O33+N33)*0.1</f>
        <v>0.19</v>
      </c>
      <c r="Q33" s="4">
        <f t="shared" si="5"/>
        <v>2.09</v>
      </c>
      <c r="R33" s="4"/>
      <c r="S33">
        <f t="shared" si="56"/>
        <v>6</v>
      </c>
      <c r="T33">
        <f t="shared" ref="T33" si="77">A33</f>
        <v>0</v>
      </c>
      <c r="U33" s="90">
        <f t="shared" ref="U33" si="78">IF(S33-T33&gt;0, S33-T33, 0)</f>
        <v>6</v>
      </c>
      <c r="V33" s="29" t="str">
        <f>I33</f>
        <v>R for LEDs</v>
      </c>
      <c r="W33" s="29" t="str">
        <f t="shared" ref="W33" si="79">H33</f>
        <v xml:space="preserve">6 pin SIP 470R - 1% 1/4 W resistor </v>
      </c>
      <c r="X33" s="29" t="str">
        <f>K33</f>
        <v>DigiKey</v>
      </c>
      <c r="Y33" s="30" t="str">
        <f t="shared" ref="Y33" si="80">G33</f>
        <v>4306R-101-471LF-ND</v>
      </c>
      <c r="Z33" t="s">
        <v>143</v>
      </c>
    </row>
    <row r="34" spans="1:27" x14ac:dyDescent="0.2">
      <c r="A34" s="152"/>
      <c r="B34" s="150">
        <f t="shared" si="70"/>
        <v>0</v>
      </c>
      <c r="C34" s="8">
        <f t="shared" si="8"/>
        <v>26</v>
      </c>
      <c r="D34" s="48" t="s">
        <v>676</v>
      </c>
      <c r="E34" s="48" t="s">
        <v>616</v>
      </c>
      <c r="F34">
        <v>1</v>
      </c>
      <c r="G34" s="106" t="s">
        <v>709</v>
      </c>
      <c r="H34" s="48" t="s">
        <v>708</v>
      </c>
      <c r="I34" s="48" t="s">
        <v>677</v>
      </c>
      <c r="J34" s="29" t="s">
        <v>140</v>
      </c>
      <c r="K34" t="s">
        <v>142</v>
      </c>
      <c r="L34">
        <v>1</v>
      </c>
      <c r="M34" t="s">
        <v>24</v>
      </c>
      <c r="N34" s="3">
        <v>0.75</v>
      </c>
      <c r="O34" s="3"/>
      <c r="P34" s="3">
        <f t="shared" si="4"/>
        <v>7.5000000000000011E-2</v>
      </c>
      <c r="Q34" s="4">
        <f t="shared" si="5"/>
        <v>0.82499999999999996</v>
      </c>
      <c r="R34" s="4"/>
      <c r="S34">
        <f t="shared" si="56"/>
        <v>6</v>
      </c>
      <c r="T34">
        <f t="shared" si="7"/>
        <v>0</v>
      </c>
      <c r="U34" s="90">
        <f t="shared" si="26"/>
        <v>6</v>
      </c>
      <c r="V34" s="29" t="str">
        <f t="shared" ref="V34" si="81">I34</f>
        <v>various R</v>
      </c>
      <c r="W34" s="29" t="e">
        <f>#REF!</f>
        <v>#REF!</v>
      </c>
      <c r="X34" s="29" t="str">
        <f t="shared" ref="X34" si="82">K34</f>
        <v>DigiKey</v>
      </c>
      <c r="Y34" s="30" t="e">
        <f>#REF!</f>
        <v>#REF!</v>
      </c>
      <c r="Z34" t="s">
        <v>143</v>
      </c>
    </row>
    <row r="35" spans="1:27" x14ac:dyDescent="0.2">
      <c r="A35" s="152"/>
      <c r="B35" s="150">
        <f t="shared" si="70"/>
        <v>0</v>
      </c>
      <c r="C35" s="8">
        <f t="shared" si="8"/>
        <v>27</v>
      </c>
      <c r="D35" s="48" t="s">
        <v>771</v>
      </c>
      <c r="E35" s="48" t="s">
        <v>616</v>
      </c>
      <c r="F35">
        <v>2</v>
      </c>
      <c r="G35" s="40" t="s">
        <v>772</v>
      </c>
      <c r="H35" s="48" t="s">
        <v>773</v>
      </c>
      <c r="I35" s="48" t="s">
        <v>710</v>
      </c>
      <c r="J35" s="29" t="s">
        <v>140</v>
      </c>
      <c r="K35" t="s">
        <v>142</v>
      </c>
      <c r="L35">
        <v>1</v>
      </c>
      <c r="M35" t="s">
        <v>24</v>
      </c>
      <c r="N35" s="3">
        <v>1.2</v>
      </c>
      <c r="O35" s="3"/>
      <c r="P35" s="3">
        <v>0.1</v>
      </c>
      <c r="Q35" s="4">
        <f t="shared" si="5"/>
        <v>2.6</v>
      </c>
      <c r="R35" s="4"/>
      <c r="S35">
        <f t="shared" si="56"/>
        <v>12</v>
      </c>
      <c r="T35">
        <f t="shared" ref="T35" si="83">A35</f>
        <v>0</v>
      </c>
      <c r="U35" s="90">
        <f t="shared" ref="U35" si="84">IF(S35-T35&gt;0, S35-T35, 0)</f>
        <v>12</v>
      </c>
      <c r="V35" s="29" t="str">
        <f t="shared" ref="V35" si="85">I35</f>
        <v>100K for joystick and S&amp;P sensors reference</v>
      </c>
      <c r="W35" s="29" t="str">
        <f t="shared" ref="W35" si="86">H35</f>
        <v>100K x 5 1% 1/8 W SIP</v>
      </c>
      <c r="X35" s="29" t="str">
        <f t="shared" ref="X35" si="87">K35</f>
        <v>DigiKey</v>
      </c>
      <c r="Y35" s="30" t="str">
        <f t="shared" ref="Y35" si="88">G35</f>
        <v>4606X-101-104LF ??</v>
      </c>
      <c r="Z35" t="s">
        <v>143</v>
      </c>
    </row>
    <row r="36" spans="1:27" x14ac:dyDescent="0.2">
      <c r="A36" s="152"/>
      <c r="B36" s="150">
        <f t="shared" si="70"/>
        <v>0</v>
      </c>
      <c r="C36" s="8">
        <f t="shared" si="8"/>
        <v>28</v>
      </c>
      <c r="D36" s="48" t="s">
        <v>657</v>
      </c>
      <c r="E36" s="48" t="s">
        <v>616</v>
      </c>
      <c r="F36">
        <v>1</v>
      </c>
      <c r="G36" s="8"/>
      <c r="H36" s="48" t="s">
        <v>658</v>
      </c>
      <c r="I36" s="48" t="s">
        <v>659</v>
      </c>
      <c r="J36" s="29" t="s">
        <v>140</v>
      </c>
      <c r="K36" s="48" t="s">
        <v>633</v>
      </c>
      <c r="L36">
        <v>1</v>
      </c>
      <c r="M36" t="s">
        <v>24</v>
      </c>
      <c r="N36" s="3"/>
      <c r="O36" s="3">
        <v>0.25</v>
      </c>
      <c r="P36" s="3">
        <f t="shared" ref="P36:P43" si="89">(O36+N36)*0.1</f>
        <v>2.5000000000000001E-2</v>
      </c>
      <c r="Q36" s="4">
        <f t="shared" si="5"/>
        <v>0.35000000000000003</v>
      </c>
      <c r="R36" s="4"/>
      <c r="S36">
        <f t="shared" si="56"/>
        <v>6</v>
      </c>
      <c r="T36">
        <f t="shared" ref="T36" si="90">A36</f>
        <v>0</v>
      </c>
      <c r="U36" s="90">
        <f t="shared" ref="U36" si="91">IF(S36-T36&gt;0, S36-T36, 0)</f>
        <v>6</v>
      </c>
      <c r="V36" s="29" t="str">
        <f>I36</f>
        <v>program mode switch</v>
      </c>
      <c r="W36" s="29" t="str">
        <f t="shared" ref="W36:W43" si="92">H36</f>
        <v>PCB mount - pushbutton switch</v>
      </c>
      <c r="X36" s="29" t="str">
        <f>K36</f>
        <v>Banggood</v>
      </c>
      <c r="Y36" s="30">
        <f t="shared" ref="Y36:Y43" si="93">G36</f>
        <v>0</v>
      </c>
      <c r="Z36" t="s">
        <v>143</v>
      </c>
    </row>
    <row r="37" spans="1:27" x14ac:dyDescent="0.2">
      <c r="A37" s="152"/>
      <c r="B37" s="150">
        <f t="shared" ref="B37" si="94">A37*Q37/F37</f>
        <v>0</v>
      </c>
      <c r="C37" s="8">
        <f t="shared" si="8"/>
        <v>29</v>
      </c>
      <c r="D37" s="48" t="s">
        <v>614</v>
      </c>
      <c r="E37" s="48" t="s">
        <v>616</v>
      </c>
      <c r="F37">
        <v>1</v>
      </c>
      <c r="G37" s="40" t="s">
        <v>655</v>
      </c>
      <c r="H37" t="s">
        <v>656</v>
      </c>
      <c r="I37" s="48" t="s">
        <v>615</v>
      </c>
      <c r="J37" s="29" t="s">
        <v>140</v>
      </c>
      <c r="K37" t="s">
        <v>142</v>
      </c>
      <c r="L37">
        <v>1</v>
      </c>
      <c r="M37" t="s">
        <v>24</v>
      </c>
      <c r="N37" s="3">
        <v>0.4</v>
      </c>
      <c r="O37" s="3"/>
      <c r="P37" s="3">
        <f t="shared" si="89"/>
        <v>4.0000000000000008E-2</v>
      </c>
      <c r="Q37" s="4">
        <f t="shared" si="5"/>
        <v>0.44000000000000006</v>
      </c>
      <c r="R37" s="4"/>
      <c r="S37">
        <f t="shared" si="56"/>
        <v>6</v>
      </c>
      <c r="T37">
        <f t="shared" ref="T37" si="95">A37</f>
        <v>0</v>
      </c>
      <c r="U37" s="90">
        <f t="shared" ref="U37" si="96">IF(S37-T37&gt;0, S37-T37, 0)</f>
        <v>6</v>
      </c>
      <c r="V37" s="29" t="str">
        <f>I37</f>
        <v>analog joystick</v>
      </c>
      <c r="W37" s="29" t="str">
        <f t="shared" si="92"/>
        <v>.100 5-pin stick header - locking</v>
      </c>
      <c r="X37" s="29" t="str">
        <f>K37</f>
        <v>DigiKey</v>
      </c>
      <c r="Y37" s="30" t="str">
        <f t="shared" si="93"/>
        <v>WM4203-ND</v>
      </c>
      <c r="Z37" t="s">
        <v>143</v>
      </c>
    </row>
    <row r="38" spans="1:27" x14ac:dyDescent="0.2">
      <c r="A38" s="152"/>
      <c r="B38" s="150">
        <f t="shared" ref="B38:B45" si="97">A38*Q38/F38</f>
        <v>0</v>
      </c>
      <c r="C38" s="8">
        <f t="shared" si="8"/>
        <v>30</v>
      </c>
      <c r="D38" s="29" t="s">
        <v>153</v>
      </c>
      <c r="E38" s="48" t="s">
        <v>616</v>
      </c>
      <c r="F38">
        <v>1</v>
      </c>
      <c r="G38" s="40" t="s">
        <v>329</v>
      </c>
      <c r="H38" s="48" t="s">
        <v>715</v>
      </c>
      <c r="I38" s="29" t="s">
        <v>247</v>
      </c>
      <c r="J38" s="29" t="s">
        <v>140</v>
      </c>
      <c r="K38" t="s">
        <v>142</v>
      </c>
      <c r="L38">
        <v>1</v>
      </c>
      <c r="M38" t="s">
        <v>24</v>
      </c>
      <c r="N38" s="3">
        <v>9.5</v>
      </c>
      <c r="O38" s="3"/>
      <c r="P38" s="3">
        <f t="shared" si="89"/>
        <v>0.95000000000000007</v>
      </c>
      <c r="Q38" s="4">
        <f t="shared" si="5"/>
        <v>10.45</v>
      </c>
      <c r="R38" s="4"/>
      <c r="S38">
        <f t="shared" si="56"/>
        <v>6</v>
      </c>
      <c r="T38">
        <f t="shared" ref="T38:T45" si="98">A38</f>
        <v>0</v>
      </c>
      <c r="U38" s="90">
        <f t="shared" ref="U38:U45" si="99">IF(S38-T38&gt;0, S38-T38, 0)</f>
        <v>6</v>
      </c>
      <c r="V38" s="29" t="e">
        <f>#REF!</f>
        <v>#REF!</v>
      </c>
      <c r="W38" s="29" t="str">
        <f t="shared" si="92"/>
        <v>.200 Euroconnector - 5-pin - PLUG</v>
      </c>
      <c r="X38" s="29" t="str">
        <f t="shared" ref="X38" si="100">K38</f>
        <v>DigiKey</v>
      </c>
      <c r="Y38" s="30" t="str">
        <f t="shared" si="93"/>
        <v>277-1065-ND</v>
      </c>
      <c r="Z38" t="s">
        <v>143</v>
      </c>
    </row>
    <row r="39" spans="1:27" x14ac:dyDescent="0.2">
      <c r="A39" s="152"/>
      <c r="B39" s="150">
        <f t="shared" si="97"/>
        <v>0</v>
      </c>
      <c r="C39" s="8">
        <f t="shared" si="8"/>
        <v>31</v>
      </c>
      <c r="D39" s="29" t="s">
        <v>153</v>
      </c>
      <c r="E39" s="48" t="s">
        <v>616</v>
      </c>
      <c r="F39">
        <v>1</v>
      </c>
      <c r="G39" s="40" t="s">
        <v>280</v>
      </c>
      <c r="H39" s="29" t="s">
        <v>279</v>
      </c>
      <c r="I39" s="48" t="s">
        <v>694</v>
      </c>
      <c r="J39" s="29" t="s">
        <v>140</v>
      </c>
      <c r="K39" t="s">
        <v>142</v>
      </c>
      <c r="L39">
        <v>1</v>
      </c>
      <c r="M39" t="s">
        <v>24</v>
      </c>
      <c r="N39" s="3">
        <v>3.5</v>
      </c>
      <c r="O39" s="3"/>
      <c r="P39" s="3">
        <f t="shared" si="89"/>
        <v>0.35000000000000003</v>
      </c>
      <c r="Q39" s="4">
        <f t="shared" si="5"/>
        <v>3.85</v>
      </c>
      <c r="R39" s="4"/>
      <c r="S39">
        <f t="shared" si="56"/>
        <v>6</v>
      </c>
      <c r="T39">
        <f t="shared" si="98"/>
        <v>0</v>
      </c>
      <c r="U39" s="90">
        <f t="shared" si="99"/>
        <v>6</v>
      </c>
      <c r="V39" s="29" t="str">
        <f>I38</f>
        <v>Power cord connector</v>
      </c>
      <c r="W39" s="29" t="e">
        <f>#REF!</f>
        <v>#REF!</v>
      </c>
      <c r="X39" s="29" t="str">
        <f>K39</f>
        <v>DigiKey</v>
      </c>
      <c r="Y39" s="30" t="str">
        <f t="shared" si="93"/>
        <v>277-1153-ND</v>
      </c>
      <c r="Z39" t="s">
        <v>143</v>
      </c>
    </row>
    <row r="40" spans="1:27" x14ac:dyDescent="0.2">
      <c r="A40" s="152"/>
      <c r="B40" s="150">
        <f t="shared" si="97"/>
        <v>0</v>
      </c>
      <c r="C40" s="8">
        <f t="shared" si="8"/>
        <v>32</v>
      </c>
      <c r="D40" s="29" t="s">
        <v>153</v>
      </c>
      <c r="E40" s="48" t="s">
        <v>616</v>
      </c>
      <c r="F40">
        <v>1</v>
      </c>
      <c r="G40" s="40" t="s">
        <v>712</v>
      </c>
      <c r="H40" s="48" t="s">
        <v>714</v>
      </c>
      <c r="I40" s="48" t="s">
        <v>763</v>
      </c>
      <c r="J40" s="29" t="s">
        <v>140</v>
      </c>
      <c r="K40" t="s">
        <v>142</v>
      </c>
      <c r="L40">
        <v>1</v>
      </c>
      <c r="M40" t="s">
        <v>24</v>
      </c>
      <c r="N40" s="3">
        <v>4.5</v>
      </c>
      <c r="O40" s="3"/>
      <c r="P40" s="3">
        <f t="shared" ref="P40:P41" si="101">(O40+N40)*0.1</f>
        <v>0.45</v>
      </c>
      <c r="Q40" s="4">
        <f t="shared" ref="Q40:Q41" si="102">F40*(P40+O40*$O$69+N40)</f>
        <v>4.95</v>
      </c>
      <c r="R40" s="4"/>
      <c r="S40">
        <f t="shared" ref="S40:S41" si="103">$T$68*F40</f>
        <v>6</v>
      </c>
      <c r="T40">
        <f t="shared" si="98"/>
        <v>0</v>
      </c>
      <c r="U40" s="90">
        <f t="shared" si="99"/>
        <v>6</v>
      </c>
      <c r="V40" s="29" t="str">
        <f>I39</f>
        <v>Power cord connector socket PCB</v>
      </c>
      <c r="W40" s="29" t="str">
        <f>H41</f>
        <v>.200 Euroconnector - 2-pin - PCB header</v>
      </c>
      <c r="X40" s="29" t="str">
        <f t="shared" ref="X40" si="104">K40</f>
        <v>DigiKey</v>
      </c>
      <c r="Y40" s="30" t="str">
        <f t="shared" ref="Y40:Y41" si="105">G40</f>
        <v>277-1062-ND</v>
      </c>
      <c r="Z40" t="s">
        <v>143</v>
      </c>
    </row>
    <row r="41" spans="1:27" x14ac:dyDescent="0.2">
      <c r="A41" s="152"/>
      <c r="B41" s="150">
        <f t="shared" si="97"/>
        <v>0</v>
      </c>
      <c r="C41" s="8">
        <f t="shared" si="8"/>
        <v>33</v>
      </c>
      <c r="D41" s="29" t="s">
        <v>153</v>
      </c>
      <c r="E41" s="48" t="s">
        <v>616</v>
      </c>
      <c r="F41">
        <v>1</v>
      </c>
      <c r="G41" s="40" t="s">
        <v>711</v>
      </c>
      <c r="H41" s="48" t="s">
        <v>713</v>
      </c>
      <c r="I41" s="48" t="s">
        <v>763</v>
      </c>
      <c r="J41" s="29" t="s">
        <v>140</v>
      </c>
      <c r="K41" t="s">
        <v>142</v>
      </c>
      <c r="L41">
        <v>1</v>
      </c>
      <c r="M41" t="s">
        <v>24</v>
      </c>
      <c r="N41" s="3">
        <v>1.5</v>
      </c>
      <c r="O41" s="3"/>
      <c r="P41" s="3">
        <f t="shared" si="101"/>
        <v>0.15000000000000002</v>
      </c>
      <c r="Q41" s="4">
        <f t="shared" si="102"/>
        <v>1.65</v>
      </c>
      <c r="R41" s="4"/>
      <c r="S41">
        <f t="shared" si="103"/>
        <v>6</v>
      </c>
      <c r="T41">
        <f t="shared" si="98"/>
        <v>0</v>
      </c>
      <c r="U41" s="90">
        <f t="shared" si="99"/>
        <v>6</v>
      </c>
      <c r="V41" s="29" t="str">
        <f>I40</f>
        <v>helm drive connector</v>
      </c>
      <c r="W41" s="29" t="str">
        <f>H39</f>
        <v>.200 Euroconnector - 5-pin - PCB header</v>
      </c>
      <c r="X41" s="29" t="str">
        <f>K41</f>
        <v>DigiKey</v>
      </c>
      <c r="Y41" s="30" t="str">
        <f t="shared" si="105"/>
        <v>277-1150-ND</v>
      </c>
      <c r="Z41" t="s">
        <v>143</v>
      </c>
    </row>
    <row r="42" spans="1:27" x14ac:dyDescent="0.2">
      <c r="A42" s="95"/>
      <c r="B42" s="150">
        <f t="shared" si="97"/>
        <v>0</v>
      </c>
      <c r="C42" s="8">
        <f t="shared" si="8"/>
        <v>34</v>
      </c>
      <c r="D42" s="48" t="s">
        <v>641</v>
      </c>
      <c r="E42" s="48" t="s">
        <v>616</v>
      </c>
      <c r="F42">
        <v>1</v>
      </c>
      <c r="G42" s="40" t="s">
        <v>700</v>
      </c>
      <c r="H42" s="48" t="s">
        <v>638</v>
      </c>
      <c r="I42" t="s">
        <v>637</v>
      </c>
      <c r="J42" t="s">
        <v>23</v>
      </c>
      <c r="K42" s="48" t="s">
        <v>633</v>
      </c>
      <c r="L42">
        <v>1</v>
      </c>
      <c r="M42" t="s">
        <v>24</v>
      </c>
      <c r="N42" s="3"/>
      <c r="O42" s="3">
        <v>1</v>
      </c>
      <c r="P42" s="3">
        <f t="shared" si="89"/>
        <v>0.1</v>
      </c>
      <c r="Q42" s="4">
        <f t="shared" ref="Q42:Q52" si="106">F42*(P42+O42*$O$69+N42)</f>
        <v>1.4000000000000001</v>
      </c>
      <c r="R42" s="4"/>
      <c r="S42">
        <f t="shared" ref="S42:S50" si="107">$T$68*F42</f>
        <v>6</v>
      </c>
      <c r="T42">
        <f t="shared" si="98"/>
        <v>0</v>
      </c>
      <c r="U42" s="90">
        <f t="shared" si="99"/>
        <v>6</v>
      </c>
      <c r="V42" s="29" t="str">
        <f>I42</f>
        <v>PIC socket</v>
      </c>
      <c r="W42" s="29" t="str">
        <f t="shared" si="92"/>
        <v>28 pin socket for PIC</v>
      </c>
      <c r="X42" s="29" t="str">
        <f>K42</f>
        <v>Banggood</v>
      </c>
      <c r="Y42" s="30" t="str">
        <f t="shared" si="93"/>
        <v>28-3518-10T-ND</v>
      </c>
      <c r="Z42" t="s">
        <v>143</v>
      </c>
      <c r="AA42" s="40"/>
    </row>
    <row r="43" spans="1:27" x14ac:dyDescent="0.2">
      <c r="A43" s="152"/>
      <c r="B43" s="150">
        <f t="shared" si="97"/>
        <v>0</v>
      </c>
      <c r="C43" s="8">
        <f t="shared" si="8"/>
        <v>35</v>
      </c>
      <c r="D43" s="48" t="s">
        <v>612</v>
      </c>
      <c r="E43" s="48" t="s">
        <v>616</v>
      </c>
      <c r="F43">
        <v>1</v>
      </c>
      <c r="G43" s="213" t="s">
        <v>699</v>
      </c>
      <c r="H43" s="48" t="s">
        <v>693</v>
      </c>
      <c r="I43" s="48" t="s">
        <v>613</v>
      </c>
      <c r="J43" s="29" t="s">
        <v>140</v>
      </c>
      <c r="K43" t="s">
        <v>142</v>
      </c>
      <c r="L43">
        <v>1</v>
      </c>
      <c r="M43" t="s">
        <v>24</v>
      </c>
      <c r="N43" s="3">
        <v>0.4</v>
      </c>
      <c r="O43" s="3"/>
      <c r="P43" s="3">
        <f t="shared" si="89"/>
        <v>4.0000000000000008E-2</v>
      </c>
      <c r="Q43" s="4">
        <f t="shared" si="106"/>
        <v>0.44000000000000006</v>
      </c>
      <c r="R43" s="4"/>
      <c r="S43">
        <f t="shared" si="107"/>
        <v>6</v>
      </c>
      <c r="T43">
        <f t="shared" si="98"/>
        <v>0</v>
      </c>
      <c r="U43" s="90">
        <f t="shared" si="99"/>
        <v>6</v>
      </c>
      <c r="V43" s="29" t="str">
        <f>I43</f>
        <v>USB header (Arduino)</v>
      </c>
      <c r="W43" s="29" t="str">
        <f t="shared" si="92"/>
        <v>.100 6-pin FEMALE header</v>
      </c>
      <c r="X43" s="29" t="str">
        <f>K43</f>
        <v>DigiKey</v>
      </c>
      <c r="Y43" s="30" t="str">
        <f t="shared" si="93"/>
        <v>HDR100IMP06F-G-V-ST</v>
      </c>
      <c r="Z43" t="s">
        <v>143</v>
      </c>
    </row>
    <row r="44" spans="1:27" ht="15.75" customHeight="1" x14ac:dyDescent="0.2">
      <c r="A44" s="152"/>
      <c r="B44" s="150">
        <f t="shared" si="97"/>
        <v>0</v>
      </c>
      <c r="C44" s="8">
        <f t="shared" si="8"/>
        <v>36</v>
      </c>
      <c r="D44" s="48" t="s">
        <v>611</v>
      </c>
      <c r="E44" s="48" t="s">
        <v>616</v>
      </c>
      <c r="F44">
        <v>4</v>
      </c>
      <c r="G44" s="212" t="s">
        <v>697</v>
      </c>
      <c r="H44" s="48" t="s">
        <v>311</v>
      </c>
      <c r="I44" s="48" t="s">
        <v>664</v>
      </c>
      <c r="J44" s="29" t="s">
        <v>140</v>
      </c>
      <c r="K44" s="48" t="s">
        <v>633</v>
      </c>
      <c r="L44">
        <v>1</v>
      </c>
      <c r="M44" t="s">
        <v>24</v>
      </c>
      <c r="N44" s="3">
        <v>0.4</v>
      </c>
      <c r="O44" s="3"/>
      <c r="P44" s="3">
        <f>(O44+N44)*0.1</f>
        <v>4.0000000000000008E-2</v>
      </c>
      <c r="Q44" s="4">
        <f t="shared" si="106"/>
        <v>1.7600000000000002</v>
      </c>
      <c r="R44" s="4"/>
      <c r="S44">
        <f t="shared" si="107"/>
        <v>24</v>
      </c>
      <c r="T44">
        <f t="shared" si="98"/>
        <v>0</v>
      </c>
      <c r="U44" s="90">
        <f t="shared" si="99"/>
        <v>24</v>
      </c>
      <c r="V44" s="29" t="str">
        <f>I44</f>
        <v>RC Receiver connector; JUMPERS</v>
      </c>
      <c r="W44" s="29" t="str">
        <f>H44</f>
        <v>.100 3-pin stick header</v>
      </c>
      <c r="X44" s="29" t="str">
        <f>K44</f>
        <v>Banggood</v>
      </c>
      <c r="Y44" s="30" t="str">
        <f>G44</f>
        <v xml:space="preserve">	
900-0022032031-ND</v>
      </c>
      <c r="Z44" t="s">
        <v>143</v>
      </c>
    </row>
    <row r="45" spans="1:27" x14ac:dyDescent="0.2">
      <c r="A45" s="95"/>
      <c r="B45" s="150">
        <f t="shared" si="97"/>
        <v>0</v>
      </c>
      <c r="C45" s="8">
        <f t="shared" si="8"/>
        <v>37</v>
      </c>
      <c r="D45" s="48" t="s">
        <v>764</v>
      </c>
      <c r="E45" s="48" t="s">
        <v>616</v>
      </c>
      <c r="F45">
        <v>1</v>
      </c>
      <c r="G45" s="40"/>
      <c r="H45" s="48" t="s">
        <v>762</v>
      </c>
      <c r="I45" s="48"/>
      <c r="K45" s="48"/>
      <c r="M45" t="s">
        <v>24</v>
      </c>
      <c r="N45" s="3"/>
      <c r="O45" s="3"/>
      <c r="P45" s="3">
        <f t="shared" ref="P45" si="108">(O45+N45)*0.1</f>
        <v>0</v>
      </c>
      <c r="Q45" s="4">
        <f t="shared" si="106"/>
        <v>0</v>
      </c>
      <c r="R45" s="4"/>
      <c r="S45">
        <f t="shared" si="107"/>
        <v>6</v>
      </c>
      <c r="T45">
        <f t="shared" si="98"/>
        <v>0</v>
      </c>
      <c r="U45" s="90">
        <f t="shared" si="99"/>
        <v>6</v>
      </c>
      <c r="V45" s="29">
        <f t="shared" ref="V45" si="109">I45</f>
        <v>0</v>
      </c>
      <c r="W45" s="29" t="str">
        <f t="shared" ref="W45" si="110">H45</f>
        <v>pads for Cytron MD13S</v>
      </c>
      <c r="X45" s="29">
        <f t="shared" ref="X45" si="111">K45</f>
        <v>0</v>
      </c>
      <c r="Y45" s="30">
        <f t="shared" ref="Y45" si="112">G45</f>
        <v>0</v>
      </c>
      <c r="Z45" t="s">
        <v>143</v>
      </c>
      <c r="AA45" s="40"/>
    </row>
    <row r="46" spans="1:27" x14ac:dyDescent="0.2">
      <c r="A46" s="95"/>
      <c r="B46" s="150">
        <f t="shared" ref="B46" si="113">A46*Q46/F46</f>
        <v>0</v>
      </c>
      <c r="C46" s="8">
        <f t="shared" si="8"/>
        <v>38</v>
      </c>
      <c r="D46" s="48" t="s">
        <v>761</v>
      </c>
      <c r="E46" s="48" t="s">
        <v>616</v>
      </c>
      <c r="F46">
        <v>1</v>
      </c>
      <c r="G46" s="40" t="s">
        <v>701</v>
      </c>
      <c r="H46" s="48" t="s">
        <v>639</v>
      </c>
      <c r="I46" s="48" t="s">
        <v>640</v>
      </c>
      <c r="J46" t="s">
        <v>23</v>
      </c>
      <c r="K46" s="48" t="s">
        <v>633</v>
      </c>
      <c r="L46">
        <v>1</v>
      </c>
      <c r="M46" t="s">
        <v>24</v>
      </c>
      <c r="N46" s="3"/>
      <c r="O46" s="3">
        <v>1</v>
      </c>
      <c r="P46" s="3">
        <f t="shared" ref="P46" si="114">(O46+N46)*0.1</f>
        <v>0.1</v>
      </c>
      <c r="Q46" s="4">
        <f t="shared" si="106"/>
        <v>1.4000000000000001</v>
      </c>
      <c r="R46" s="4"/>
      <c r="S46">
        <f t="shared" si="107"/>
        <v>6</v>
      </c>
      <c r="T46">
        <f t="shared" ref="T46" si="115">A46</f>
        <v>0</v>
      </c>
      <c r="U46" s="90">
        <f t="shared" ref="U46" si="116">IF(S46-T46&gt;0, S46-T46, 0)</f>
        <v>6</v>
      </c>
      <c r="V46" s="29" t="str">
        <f t="shared" ref="V46" si="117">I46</f>
        <v>ULN2003 socket</v>
      </c>
      <c r="W46" s="29" t="str">
        <f t="shared" ref="W46" si="118">H46</f>
        <v>16 pin socket for ULN2003</v>
      </c>
      <c r="X46" s="29" t="str">
        <f t="shared" ref="X46" si="119">K46</f>
        <v>Banggood</v>
      </c>
      <c r="Y46" s="30" t="str">
        <f t="shared" ref="Y46" si="120">G46</f>
        <v>16-3518-10T-ND</v>
      </c>
      <c r="Z46" t="s">
        <v>143</v>
      </c>
      <c r="AA46" s="40"/>
    </row>
    <row r="47" spans="1:27" x14ac:dyDescent="0.2">
      <c r="A47" s="95"/>
      <c r="B47" s="150">
        <f t="shared" ref="B47" si="121">A47*Q47/F47</f>
        <v>0</v>
      </c>
      <c r="C47" s="8">
        <f t="shared" si="8"/>
        <v>39</v>
      </c>
      <c r="D47" s="48" t="s">
        <v>642</v>
      </c>
      <c r="E47" s="48" t="s">
        <v>616</v>
      </c>
      <c r="F47">
        <v>4</v>
      </c>
      <c r="G47" s="8"/>
      <c r="H47" s="48" t="s">
        <v>663</v>
      </c>
      <c r="I47" s="48" t="s">
        <v>643</v>
      </c>
      <c r="J47" t="s">
        <v>23</v>
      </c>
      <c r="K47" s="48" t="s">
        <v>633</v>
      </c>
      <c r="L47">
        <v>1</v>
      </c>
      <c r="M47" t="s">
        <v>24</v>
      </c>
      <c r="N47" s="3">
        <v>1.5</v>
      </c>
      <c r="O47" s="3"/>
      <c r="P47" s="3">
        <f t="shared" ref="P47" si="122">(O47+N47)*0.1</f>
        <v>0.15000000000000002</v>
      </c>
      <c r="Q47" s="4">
        <f t="shared" si="106"/>
        <v>6.6</v>
      </c>
      <c r="R47" s="4"/>
      <c r="S47">
        <f t="shared" si="107"/>
        <v>24</v>
      </c>
      <c r="T47">
        <f t="shared" ref="T47" si="123">A47</f>
        <v>0</v>
      </c>
      <c r="U47" s="90">
        <f t="shared" ref="U47" si="124">IF(S47-T47&gt;0, S47-T47, 0)</f>
        <v>24</v>
      </c>
      <c r="V47" s="29" t="str">
        <f t="shared" ref="V47" si="125">I47</f>
        <v>switched joystick</v>
      </c>
      <c r="W47" s="29" t="str">
        <f t="shared" ref="W47" si="126">H47</f>
        <v>.100 3-pin stick header - locking</v>
      </c>
      <c r="X47" s="29" t="str">
        <f t="shared" ref="X47" si="127">K47</f>
        <v>Banggood</v>
      </c>
      <c r="Y47" s="30">
        <f t="shared" ref="Y47" si="128">G47</f>
        <v>0</v>
      </c>
      <c r="Z47" t="s">
        <v>143</v>
      </c>
      <c r="AA47" s="40"/>
    </row>
    <row r="48" spans="1:27" ht="16.5" customHeight="1" x14ac:dyDescent="0.2">
      <c r="A48" s="152"/>
      <c r="B48" s="150">
        <f t="shared" si="25"/>
        <v>0</v>
      </c>
      <c r="C48" s="8">
        <f t="shared" si="8"/>
        <v>40</v>
      </c>
      <c r="D48" s="48" t="s">
        <v>688</v>
      </c>
      <c r="E48" s="48" t="s">
        <v>616</v>
      </c>
      <c r="F48">
        <v>2</v>
      </c>
      <c r="G48" s="212" t="s">
        <v>698</v>
      </c>
      <c r="H48" s="48" t="s">
        <v>690</v>
      </c>
      <c r="I48" s="48" t="s">
        <v>691</v>
      </c>
      <c r="J48" s="29" t="s">
        <v>140</v>
      </c>
      <c r="K48" t="s">
        <v>142</v>
      </c>
      <c r="L48">
        <v>1</v>
      </c>
      <c r="M48" t="s">
        <v>24</v>
      </c>
      <c r="N48" s="3">
        <v>0.9</v>
      </c>
      <c r="O48" s="3"/>
      <c r="P48" s="3">
        <f t="shared" ref="P48:P50" si="129">(O48+N48)*0.1</f>
        <v>9.0000000000000011E-2</v>
      </c>
      <c r="Q48" s="4">
        <f t="shared" si="106"/>
        <v>1.98</v>
      </c>
      <c r="R48" s="4"/>
      <c r="S48">
        <f t="shared" si="107"/>
        <v>12</v>
      </c>
      <c r="T48">
        <f t="shared" si="7"/>
        <v>0</v>
      </c>
      <c r="U48" s="90">
        <f t="shared" si="26"/>
        <v>12</v>
      </c>
      <c r="V48" s="29" t="str">
        <f t="shared" ref="V48:V50" si="130">I48</f>
        <v>S&amp;P module connector</v>
      </c>
      <c r="W48" s="29" t="str">
        <f t="shared" ref="W48:W50" si="131">H48</f>
        <v>.100 4-pin MALE header</v>
      </c>
      <c r="X48" s="29" t="str">
        <f t="shared" ref="X48:X50" si="132">K48</f>
        <v>DigiKey</v>
      </c>
      <c r="Y48" s="30" t="str">
        <f t="shared" ref="Y48:Y50" si="133">G48</f>
        <v xml:space="preserve">	
WM4002-ND</v>
      </c>
      <c r="Z48" t="s">
        <v>143</v>
      </c>
      <c r="AA48" s="40"/>
    </row>
    <row r="49" spans="1:31" x14ac:dyDescent="0.2">
      <c r="A49" s="152"/>
      <c r="B49" s="150">
        <f t="shared" ref="B49" si="134">A49*Q49/F49</f>
        <v>0</v>
      </c>
      <c r="C49" s="8">
        <f t="shared" si="8"/>
        <v>41</v>
      </c>
      <c r="D49" s="48" t="s">
        <v>689</v>
      </c>
      <c r="E49" s="48" t="s">
        <v>616</v>
      </c>
      <c r="F49">
        <v>8</v>
      </c>
      <c r="G49" s="106" t="s">
        <v>269</v>
      </c>
      <c r="H49" s="29" t="s">
        <v>270</v>
      </c>
      <c r="I49" s="29" t="s">
        <v>264</v>
      </c>
      <c r="J49" s="29" t="s">
        <v>140</v>
      </c>
      <c r="K49" t="s">
        <v>142</v>
      </c>
      <c r="L49">
        <v>1</v>
      </c>
      <c r="M49" t="s">
        <v>24</v>
      </c>
      <c r="N49" s="3">
        <v>0.9</v>
      </c>
      <c r="O49" s="3"/>
      <c r="P49" s="3">
        <f t="shared" ref="P49" si="135">(O49+N49)*0.1</f>
        <v>9.0000000000000011E-2</v>
      </c>
      <c r="Q49" s="4">
        <f t="shared" si="106"/>
        <v>7.92</v>
      </c>
      <c r="R49" s="4"/>
      <c r="S49">
        <f t="shared" si="107"/>
        <v>48</v>
      </c>
      <c r="T49">
        <f t="shared" ref="T49" si="136">A49</f>
        <v>0</v>
      </c>
      <c r="U49" s="90">
        <f t="shared" ref="U49" si="137">IF(S49-T49&gt;0, S49-T49, 0)</f>
        <v>48</v>
      </c>
      <c r="V49" s="29" t="str">
        <f t="shared" ref="V49" si="138">I49</f>
        <v>flying lead spade connector for joystick</v>
      </c>
      <c r="W49" s="29" t="str">
        <f t="shared" ref="W49" si="139">H49</f>
        <v>.250 90 degree insulated crimp connector</v>
      </c>
      <c r="X49" s="29" t="str">
        <f t="shared" ref="X49" si="140">K49</f>
        <v>DigiKey</v>
      </c>
      <c r="Y49" s="30" t="str">
        <f t="shared" ref="Y49" si="141">G49</f>
        <v>298-10283-ND</v>
      </c>
      <c r="Z49" t="s">
        <v>143</v>
      </c>
      <c r="AA49" s="40"/>
    </row>
    <row r="50" spans="1:31" x14ac:dyDescent="0.2">
      <c r="A50" s="152"/>
      <c r="B50" s="150">
        <f t="shared" ref="B50" si="142">A50*Q50/F50</f>
        <v>0</v>
      </c>
      <c r="C50" s="8">
        <f t="shared" si="8"/>
        <v>42</v>
      </c>
      <c r="D50" s="41" t="s">
        <v>294</v>
      </c>
      <c r="E50" s="207" t="s">
        <v>616</v>
      </c>
      <c r="F50" s="9">
        <v>4</v>
      </c>
      <c r="G50" s="42"/>
      <c r="H50" s="201" t="s">
        <v>665</v>
      </c>
      <c r="I50" s="207" t="s">
        <v>692</v>
      </c>
      <c r="J50" s="41" t="s">
        <v>140</v>
      </c>
      <c r="K50" s="207" t="s">
        <v>686</v>
      </c>
      <c r="L50" s="9">
        <v>1</v>
      </c>
      <c r="M50" s="9" t="s">
        <v>24</v>
      </c>
      <c r="N50" s="11">
        <v>1.5</v>
      </c>
      <c r="O50" s="11"/>
      <c r="P50" s="11">
        <f t="shared" si="129"/>
        <v>0.15000000000000002</v>
      </c>
      <c r="Q50" s="12">
        <f t="shared" si="106"/>
        <v>6.6</v>
      </c>
      <c r="R50" s="12"/>
      <c r="S50">
        <f t="shared" si="107"/>
        <v>24</v>
      </c>
      <c r="T50">
        <f t="shared" si="7"/>
        <v>0</v>
      </c>
      <c r="U50" s="90">
        <f t="shared" si="26"/>
        <v>24</v>
      </c>
      <c r="V50" s="29" t="str">
        <f t="shared" si="130"/>
        <v>mounting hardware for Cytron MD13S</v>
      </c>
      <c r="W50" s="29" t="str">
        <f t="shared" si="131"/>
        <v>3mm threaded standoff post - 15mm</v>
      </c>
      <c r="X50" s="29" t="str">
        <f t="shared" si="132"/>
        <v>Robotshop</v>
      </c>
      <c r="Y50" s="30">
        <f t="shared" si="133"/>
        <v>0</v>
      </c>
      <c r="Z50" s="40" t="s">
        <v>167</v>
      </c>
      <c r="AA50" s="40" t="s">
        <v>168</v>
      </c>
    </row>
    <row r="51" spans="1:31" x14ac:dyDescent="0.2">
      <c r="A51" s="152"/>
      <c r="B51" s="153"/>
      <c r="E51" s="48" t="s">
        <v>616</v>
      </c>
      <c r="F51">
        <v>3</v>
      </c>
      <c r="G51" s="8"/>
      <c r="I51" s="35" t="s">
        <v>158</v>
      </c>
      <c r="L51">
        <v>3</v>
      </c>
      <c r="M51" t="s">
        <v>28</v>
      </c>
      <c r="N51" s="3"/>
      <c r="O51" s="3"/>
      <c r="P51" s="3"/>
      <c r="Q51" s="4">
        <f t="shared" si="106"/>
        <v>0</v>
      </c>
      <c r="R51" s="4"/>
      <c r="Y51" s="8"/>
      <c r="Z51" s="40"/>
      <c r="AA51" s="40"/>
    </row>
    <row r="52" spans="1:31" x14ac:dyDescent="0.2">
      <c r="A52" s="152"/>
      <c r="B52" s="153"/>
      <c r="E52" s="48" t="s">
        <v>616</v>
      </c>
      <c r="F52" s="9">
        <v>1</v>
      </c>
      <c r="G52" s="10"/>
      <c r="H52" s="9"/>
      <c r="I52" s="32" t="s">
        <v>43</v>
      </c>
      <c r="J52" s="9"/>
      <c r="K52" s="9"/>
      <c r="L52" s="9"/>
      <c r="M52" s="9" t="s">
        <v>28</v>
      </c>
      <c r="N52" s="11"/>
      <c r="O52" s="11"/>
      <c r="P52" s="11">
        <v>0</v>
      </c>
      <c r="Q52" s="4">
        <f t="shared" si="106"/>
        <v>0</v>
      </c>
      <c r="R52" s="4"/>
      <c r="Y52" s="8"/>
      <c r="Z52" s="40"/>
      <c r="AA52" s="40"/>
    </row>
    <row r="53" spans="1:31" x14ac:dyDescent="0.2">
      <c r="A53" s="152"/>
      <c r="B53" s="153"/>
      <c r="E53" s="48" t="s">
        <v>616</v>
      </c>
      <c r="G53" s="8"/>
      <c r="I53" s="6" t="s">
        <v>617</v>
      </c>
      <c r="N53" s="3"/>
      <c r="O53" s="3"/>
      <c r="P53" s="3"/>
      <c r="Q53" s="22">
        <f>SUM(Q9:Q52)</f>
        <v>255.18299999999994</v>
      </c>
      <c r="R53" s="22"/>
      <c r="Y53" s="8"/>
      <c r="Z53" s="40"/>
      <c r="AA53" s="40"/>
    </row>
    <row r="54" spans="1:31" x14ac:dyDescent="0.2">
      <c r="A54" s="152"/>
      <c r="B54" s="153"/>
      <c r="G54" s="8"/>
      <c r="I54" s="35" t="s">
        <v>44</v>
      </c>
      <c r="N54" s="3"/>
      <c r="O54" s="3"/>
      <c r="P54" s="3"/>
      <c r="Q54" s="22">
        <v>0</v>
      </c>
      <c r="R54" s="22"/>
      <c r="Y54" s="8"/>
      <c r="Z54" s="40"/>
      <c r="AA54" s="40"/>
    </row>
    <row r="55" spans="1:31" x14ac:dyDescent="0.2">
      <c r="A55" s="152"/>
      <c r="B55" s="153"/>
      <c r="D55" t="s">
        <v>198</v>
      </c>
      <c r="G55" s="8"/>
      <c r="I55" s="48" t="s">
        <v>774</v>
      </c>
      <c r="N55" s="3"/>
      <c r="O55" s="3"/>
      <c r="P55" s="3"/>
      <c r="Q55" s="50">
        <v>500</v>
      </c>
      <c r="R55" s="13"/>
      <c r="Y55" s="8"/>
      <c r="Z55" s="40"/>
      <c r="AA55" s="40"/>
    </row>
    <row r="56" spans="1:31" x14ac:dyDescent="0.2">
      <c r="A56" s="95"/>
      <c r="B56" s="95"/>
      <c r="G56" s="8"/>
      <c r="I56" t="s">
        <v>46</v>
      </c>
      <c r="N56" s="3"/>
      <c r="O56" s="3"/>
      <c r="P56" s="3"/>
      <c r="R56" s="4"/>
      <c r="Y56" s="8"/>
      <c r="Z56" s="40"/>
      <c r="AA56" s="40"/>
    </row>
    <row r="57" spans="1:31" x14ac:dyDescent="0.2">
      <c r="A57" s="95"/>
      <c r="B57" s="95"/>
      <c r="G57" s="8"/>
      <c r="I57" s="35" t="s">
        <v>47</v>
      </c>
      <c r="N57" s="3"/>
      <c r="O57" s="3"/>
      <c r="P57" s="3"/>
      <c r="Q57" s="22">
        <f>Q55*F56</f>
        <v>0</v>
      </c>
      <c r="R57" s="4"/>
      <c r="Y57" s="8"/>
      <c r="Z57" s="40"/>
      <c r="AA57" s="40"/>
    </row>
    <row r="58" spans="1:31" x14ac:dyDescent="0.2">
      <c r="A58" s="95"/>
      <c r="B58" s="95"/>
      <c r="G58" s="8"/>
      <c r="I58" s="35"/>
      <c r="N58" s="3"/>
      <c r="O58" s="3"/>
      <c r="P58" s="3"/>
      <c r="Q58" s="45"/>
      <c r="R58" s="22"/>
      <c r="Y58" s="8"/>
      <c r="Z58" s="40"/>
      <c r="AA58" s="40"/>
    </row>
    <row r="59" spans="1:31" ht="20.25" x14ac:dyDescent="0.3">
      <c r="A59" s="143"/>
      <c r="B59" s="16" t="s">
        <v>498</v>
      </c>
      <c r="C59" s="147"/>
      <c r="D59" s="146"/>
      <c r="E59" s="146"/>
      <c r="F59" s="146"/>
      <c r="G59" s="147"/>
      <c r="H59" s="146"/>
      <c r="I59" s="146"/>
      <c r="J59" s="146"/>
      <c r="K59" s="146"/>
      <c r="L59" s="146"/>
      <c r="M59" s="146"/>
      <c r="N59" s="146"/>
      <c r="O59" s="146"/>
      <c r="P59" s="146"/>
      <c r="Q59" s="146"/>
      <c r="R59" s="146"/>
      <c r="S59" s="146"/>
      <c r="T59" s="146"/>
      <c r="U59" s="146"/>
      <c r="V59" s="146"/>
      <c r="W59" s="146"/>
      <c r="X59" s="146"/>
      <c r="Y59" s="147"/>
    </row>
    <row r="60" spans="1:31" ht="52.15" customHeight="1" x14ac:dyDescent="0.2">
      <c r="A60" s="97"/>
      <c r="B60" s="218" t="s">
        <v>494</v>
      </c>
      <c r="C60" s="219"/>
      <c r="D60" s="219"/>
      <c r="E60" s="219"/>
      <c r="F60" s="219"/>
      <c r="G60" s="220"/>
      <c r="I60" s="21"/>
      <c r="U60" s="90"/>
      <c r="Y60" s="90"/>
      <c r="AC60" s="8"/>
      <c r="AD60" s="8"/>
      <c r="AE60" s="8"/>
    </row>
    <row r="61" spans="1:31" ht="46.9" customHeight="1" x14ac:dyDescent="0.2">
      <c r="A61" s="163"/>
      <c r="B61" s="221" t="s">
        <v>601</v>
      </c>
      <c r="C61" s="222"/>
      <c r="D61" s="222"/>
      <c r="E61" s="222"/>
      <c r="F61" s="222"/>
      <c r="G61" s="223"/>
      <c r="I61" s="21"/>
      <c r="U61" s="90"/>
      <c r="Y61" s="90"/>
      <c r="AC61" s="8"/>
      <c r="AD61" s="8"/>
      <c r="AE61" s="8"/>
    </row>
    <row r="62" spans="1:31" ht="37.9" customHeight="1" x14ac:dyDescent="0.2">
      <c r="A62" s="163"/>
      <c r="B62" s="221" t="s">
        <v>495</v>
      </c>
      <c r="C62" s="222"/>
      <c r="D62" s="222"/>
      <c r="E62" s="222"/>
      <c r="F62" s="222"/>
      <c r="G62" s="223"/>
      <c r="I62" s="21"/>
      <c r="U62" s="90"/>
      <c r="Y62" s="90"/>
      <c r="AC62" s="8"/>
      <c r="AD62" s="8"/>
      <c r="AE62" s="8"/>
    </row>
    <row r="63" spans="1:31" ht="37.9" customHeight="1" x14ac:dyDescent="0.2">
      <c r="A63" s="163"/>
      <c r="B63" s="221" t="s">
        <v>496</v>
      </c>
      <c r="C63" s="222"/>
      <c r="D63" s="222"/>
      <c r="E63" s="222"/>
      <c r="F63" s="222"/>
      <c r="G63" s="223"/>
      <c r="I63" s="21"/>
      <c r="U63" s="90"/>
      <c r="Y63" s="90"/>
      <c r="AC63" s="8"/>
      <c r="AD63" s="8"/>
      <c r="AE63" s="8"/>
    </row>
    <row r="64" spans="1:31" x14ac:dyDescent="0.2">
      <c r="A64" s="143"/>
      <c r="B64" s="143"/>
      <c r="C64" s="147"/>
      <c r="D64" s="146"/>
      <c r="E64" s="146"/>
      <c r="F64" s="146"/>
      <c r="G64" s="147"/>
      <c r="H64" s="146"/>
      <c r="I64" s="146"/>
      <c r="J64" s="146"/>
      <c r="K64" s="146"/>
      <c r="L64" s="146"/>
      <c r="M64" s="146"/>
      <c r="N64" s="146"/>
      <c r="O64" s="146"/>
      <c r="P64" s="146"/>
      <c r="Q64" s="146"/>
      <c r="R64" s="146"/>
      <c r="S64" s="146"/>
      <c r="T64" s="146"/>
      <c r="U64" s="146"/>
      <c r="V64" s="146"/>
      <c r="W64" s="146"/>
      <c r="X64" s="146"/>
      <c r="Y64" s="147"/>
    </row>
    <row r="65" spans="1:27" x14ac:dyDescent="0.2">
      <c r="A65" s="96"/>
      <c r="B65" s="93"/>
      <c r="C65" s="30"/>
      <c r="D65" s="29"/>
      <c r="E65" s="29"/>
      <c r="F65" s="29"/>
      <c r="G65" s="30"/>
      <c r="H65" s="29"/>
      <c r="I65" s="29"/>
      <c r="J65" s="29"/>
      <c r="K65" s="29"/>
      <c r="L65" s="29"/>
      <c r="M65" s="29"/>
      <c r="N65" s="29"/>
      <c r="O65" s="29"/>
      <c r="P65" s="29"/>
      <c r="Q65" s="29"/>
      <c r="R65" s="29"/>
      <c r="S65" s="29"/>
      <c r="T65" s="29"/>
      <c r="U65" s="29"/>
      <c r="V65" s="29"/>
      <c r="W65" s="29"/>
      <c r="X65" s="29"/>
      <c r="Y65" s="30"/>
    </row>
    <row r="66" spans="1:27" ht="27" thickBot="1" x14ac:dyDescent="0.45">
      <c r="A66" s="99" t="s">
        <v>238</v>
      </c>
      <c r="B66" s="100" t="s">
        <v>239</v>
      </c>
      <c r="D66" s="145" t="s">
        <v>493</v>
      </c>
      <c r="E66" s="31"/>
      <c r="G66" s="8"/>
      <c r="H66" s="21"/>
      <c r="Y66" s="8"/>
    </row>
    <row r="67" spans="1:27" ht="13.5" thickTop="1" x14ac:dyDescent="0.2">
      <c r="A67" s="94"/>
      <c r="B67" s="95"/>
      <c r="G67" s="8"/>
      <c r="H67" s="21"/>
      <c r="Y67" s="8"/>
    </row>
    <row r="68" spans="1:27" ht="20.25" x14ac:dyDescent="0.3">
      <c r="A68" s="97"/>
      <c r="B68" s="98"/>
      <c r="D68" s="1" t="s">
        <v>263</v>
      </c>
      <c r="E68" s="26"/>
      <c r="G68" s="8"/>
      <c r="H68" s="15"/>
      <c r="O68" s="92" t="s">
        <v>2</v>
      </c>
      <c r="S68" s="32" t="s">
        <v>3</v>
      </c>
      <c r="T68" s="70">
        <v>6</v>
      </c>
      <c r="Y68" s="8"/>
      <c r="Z68" s="8"/>
      <c r="AA68" s="8"/>
    </row>
    <row r="69" spans="1:27" x14ac:dyDescent="0.2">
      <c r="A69" s="141" t="s">
        <v>389</v>
      </c>
      <c r="B69" s="142">
        <f>B70*0.05</f>
        <v>92.245000000000005</v>
      </c>
      <c r="D69" s="4"/>
      <c r="G69" s="8"/>
      <c r="O69" s="92">
        <v>1.3</v>
      </c>
      <c r="Y69" s="8"/>
      <c r="Z69" s="8"/>
      <c r="AA69" s="8"/>
    </row>
    <row r="70" spans="1:27" ht="15.75" x14ac:dyDescent="0.25">
      <c r="A70" s="148"/>
      <c r="B70" s="149">
        <f>SUM(B71:B163)</f>
        <v>1844.8999999999999</v>
      </c>
      <c r="D70" s="32" t="s">
        <v>139</v>
      </c>
      <c r="E70" s="32" t="s">
        <v>5</v>
      </c>
      <c r="F70" s="32" t="s">
        <v>16</v>
      </c>
      <c r="G70" s="34" t="s">
        <v>10</v>
      </c>
      <c r="H70" s="32" t="s">
        <v>7</v>
      </c>
      <c r="I70" s="32" t="s">
        <v>6</v>
      </c>
      <c r="J70" s="32" t="s">
        <v>8</v>
      </c>
      <c r="K70" s="32" t="s">
        <v>9</v>
      </c>
      <c r="L70" s="32" t="s">
        <v>11</v>
      </c>
      <c r="M70" s="32" t="s">
        <v>12</v>
      </c>
      <c r="N70" s="32" t="s">
        <v>13</v>
      </c>
      <c r="O70" s="32" t="s">
        <v>14</v>
      </c>
      <c r="P70" s="32" t="s">
        <v>15</v>
      </c>
      <c r="Q70" s="32" t="s">
        <v>17</v>
      </c>
      <c r="R70" s="32"/>
      <c r="S70" s="35" t="s">
        <v>18</v>
      </c>
      <c r="T70" s="35" t="s">
        <v>19</v>
      </c>
      <c r="U70" s="35" t="s">
        <v>20</v>
      </c>
      <c r="V70" s="35" t="str">
        <f t="shared" ref="V70:V84" si="143">I70</f>
        <v>Name</v>
      </c>
      <c r="W70" s="35" t="str">
        <f t="shared" ref="W70:W83" si="144">H70</f>
        <v>Description</v>
      </c>
      <c r="X70" s="35" t="str">
        <f t="shared" ref="X70:X84" si="145">K70</f>
        <v>Vendor</v>
      </c>
      <c r="Y70" s="33" t="str">
        <f t="shared" ref="Y70:Y83" si="146">G70</f>
        <v>Vendor Part #</v>
      </c>
      <c r="Z70" s="121" t="s">
        <v>438</v>
      </c>
      <c r="AA70" s="33"/>
    </row>
    <row r="71" spans="1:27" x14ac:dyDescent="0.2">
      <c r="A71" s="95">
        <v>5</v>
      </c>
      <c r="B71" s="150">
        <v>275</v>
      </c>
      <c r="C71" s="40" t="s">
        <v>434</v>
      </c>
      <c r="D71" s="48" t="s">
        <v>497</v>
      </c>
      <c r="E71" t="s">
        <v>421</v>
      </c>
      <c r="G71" s="40" t="s">
        <v>441</v>
      </c>
      <c r="H71" s="138" t="s">
        <v>436</v>
      </c>
      <c r="I71" s="48" t="s">
        <v>439</v>
      </c>
      <c r="J71" s="29" t="s">
        <v>140</v>
      </c>
      <c r="K71" s="48" t="s">
        <v>437</v>
      </c>
      <c r="L71">
        <v>3</v>
      </c>
      <c r="M71" t="s">
        <v>24</v>
      </c>
      <c r="N71" s="3">
        <v>50</v>
      </c>
      <c r="O71" s="3"/>
      <c r="P71" s="3">
        <f t="shared" ref="P71:P104" si="147">(O71+N71)*0.1</f>
        <v>5</v>
      </c>
      <c r="Q71" s="4">
        <f>F71*(P71+O71*$O$69+N71)</f>
        <v>0</v>
      </c>
      <c r="R71" s="4"/>
      <c r="S71">
        <f>$T$68*F71</f>
        <v>0</v>
      </c>
      <c r="T71">
        <f t="shared" ref="T71:T104" si="148">A71</f>
        <v>5</v>
      </c>
      <c r="U71" s="90">
        <f>IF(S71-T71&gt;0, S71-T71, 0)</f>
        <v>0</v>
      </c>
      <c r="V71" s="29" t="str">
        <f t="shared" si="143"/>
        <v>DSA MkV Revision A PCB</v>
      </c>
      <c r="W71" s="29" t="str">
        <f t="shared" si="144"/>
        <v>3 1/2" x 5" PCB</v>
      </c>
      <c r="X71" s="29" t="str">
        <f t="shared" si="145"/>
        <v>Omni Circuit Boards</v>
      </c>
      <c r="Y71" s="30" t="str">
        <f t="shared" si="146"/>
        <v>DSAMVA</v>
      </c>
      <c r="Z71" t="s">
        <v>141</v>
      </c>
      <c r="AA71" s="8"/>
    </row>
    <row r="72" spans="1:27" x14ac:dyDescent="0.2">
      <c r="A72" s="95">
        <v>10</v>
      </c>
      <c r="B72" s="150">
        <f>A72*Q72/F72</f>
        <v>638</v>
      </c>
      <c r="C72" s="40" t="s">
        <v>435</v>
      </c>
      <c r="D72" s="48" t="s">
        <v>433</v>
      </c>
      <c r="E72" t="s">
        <v>421</v>
      </c>
      <c r="F72">
        <v>1</v>
      </c>
      <c r="G72" s="40" t="s">
        <v>442</v>
      </c>
      <c r="H72" s="138" t="s">
        <v>436</v>
      </c>
      <c r="I72" s="48" t="s">
        <v>440</v>
      </c>
      <c r="J72" s="29" t="s">
        <v>140</v>
      </c>
      <c r="K72" s="48" t="s">
        <v>437</v>
      </c>
      <c r="L72">
        <v>3</v>
      </c>
      <c r="M72" t="s">
        <v>24</v>
      </c>
      <c r="N72" s="3">
        <v>58</v>
      </c>
      <c r="O72" s="3"/>
      <c r="P72" s="3">
        <f t="shared" ref="P72" si="149">(O72+N72)*0.1</f>
        <v>5.8000000000000007</v>
      </c>
      <c r="Q72" s="4">
        <f>F72*(P72+O72*$O$69+N72)</f>
        <v>63.8</v>
      </c>
      <c r="R72" s="4"/>
      <c r="S72">
        <f>$T$68*F72</f>
        <v>6</v>
      </c>
      <c r="T72">
        <f t="shared" ref="T72" si="150">A72</f>
        <v>10</v>
      </c>
      <c r="U72" s="90">
        <f>IF(S72-T72&gt;0, S72-T72, 0)</f>
        <v>0</v>
      </c>
      <c r="V72" s="29" t="str">
        <f t="shared" ref="V72" si="151">I72</f>
        <v>DSA MkV Revision B PCB</v>
      </c>
      <c r="W72" s="29" t="str">
        <f t="shared" ref="W72" si="152">H72</f>
        <v>3 1/2" x 5" PCB</v>
      </c>
      <c r="X72" s="29" t="str">
        <f t="shared" ref="X72" si="153">K72</f>
        <v>Omni Circuit Boards</v>
      </c>
      <c r="Y72" s="30" t="str">
        <f t="shared" ref="Y72" si="154">G72</f>
        <v>DSAMVB</v>
      </c>
      <c r="Z72" t="s">
        <v>141</v>
      </c>
      <c r="AA72" s="8"/>
    </row>
    <row r="73" spans="1:27" x14ac:dyDescent="0.2">
      <c r="A73" s="95">
        <v>10</v>
      </c>
      <c r="B73" s="150">
        <f t="shared" ref="B73:B104" si="155">A73*Q73/F73</f>
        <v>13.2</v>
      </c>
      <c r="C73" s="8">
        <v>2</v>
      </c>
      <c r="D73" s="29" t="s">
        <v>169</v>
      </c>
      <c r="E73" t="s">
        <v>421</v>
      </c>
      <c r="F73">
        <v>1</v>
      </c>
      <c r="G73" s="8" t="s">
        <v>148</v>
      </c>
      <c r="H73" t="s">
        <v>149</v>
      </c>
      <c r="I73" t="s">
        <v>150</v>
      </c>
      <c r="J73" s="29" t="s">
        <v>140</v>
      </c>
      <c r="K73" t="s">
        <v>142</v>
      </c>
      <c r="L73">
        <v>1</v>
      </c>
      <c r="M73" t="s">
        <v>24</v>
      </c>
      <c r="N73" s="3">
        <v>1.2</v>
      </c>
      <c r="O73" s="3"/>
      <c r="P73" s="3">
        <f t="shared" si="147"/>
        <v>0.12</v>
      </c>
      <c r="Q73" s="4">
        <f t="shared" ref="Q73:Q106" si="156">F73*(P73+O73*$O$69+N73)</f>
        <v>1.3199999999999998</v>
      </c>
      <c r="R73" s="4"/>
      <c r="S73">
        <f t="shared" ref="S73:S104" si="157">$T$68*F73</f>
        <v>6</v>
      </c>
      <c r="T73">
        <f t="shared" si="148"/>
        <v>10</v>
      </c>
      <c r="U73" s="90">
        <f t="shared" ref="U73:U104" si="158">IF(S73-T73&gt;0, S73-T73, 0)</f>
        <v>0</v>
      </c>
      <c r="V73" s="29" t="str">
        <f t="shared" si="143"/>
        <v>motor drive suppressor cap</v>
      </c>
      <c r="W73" s="29" t="str">
        <f t="shared" si="144"/>
        <v>0.1 microfarad polypropelene cap (64V)</v>
      </c>
      <c r="X73" s="29" t="str">
        <f t="shared" si="145"/>
        <v>DigiKey</v>
      </c>
      <c r="Y73" s="30" t="str">
        <f t="shared" si="146"/>
        <v>P3104-ND</v>
      </c>
      <c r="Z73" t="s">
        <v>143</v>
      </c>
      <c r="AA73" s="40"/>
    </row>
    <row r="74" spans="1:27" x14ac:dyDescent="0.2">
      <c r="A74" s="151">
        <v>10</v>
      </c>
      <c r="B74" s="150">
        <f t="shared" si="155"/>
        <v>6.6</v>
      </c>
      <c r="C74" s="8">
        <v>3</v>
      </c>
      <c r="D74" s="29" t="s">
        <v>211</v>
      </c>
      <c r="E74" t="s">
        <v>421</v>
      </c>
      <c r="F74">
        <v>1</v>
      </c>
      <c r="G74" s="30" t="s">
        <v>191</v>
      </c>
      <c r="H74" t="s">
        <v>188</v>
      </c>
      <c r="I74" s="36" t="s">
        <v>189</v>
      </c>
      <c r="J74" s="29" t="s">
        <v>140</v>
      </c>
      <c r="K74" t="s">
        <v>142</v>
      </c>
      <c r="L74">
        <v>1</v>
      </c>
      <c r="M74" t="s">
        <v>24</v>
      </c>
      <c r="N74" s="3">
        <v>0.6</v>
      </c>
      <c r="O74" s="3"/>
      <c r="P74" s="3">
        <f t="shared" si="147"/>
        <v>0.06</v>
      </c>
      <c r="Q74" s="4">
        <f t="shared" si="156"/>
        <v>0.65999999999999992</v>
      </c>
      <c r="R74" s="4"/>
      <c r="S74">
        <f t="shared" si="157"/>
        <v>6</v>
      </c>
      <c r="T74">
        <f t="shared" si="148"/>
        <v>10</v>
      </c>
      <c r="U74" s="90">
        <f t="shared" si="158"/>
        <v>0</v>
      </c>
      <c r="V74" s="29" t="str">
        <f t="shared" si="143"/>
        <v>+12V power supply</v>
      </c>
      <c r="W74" s="29" t="str">
        <f t="shared" si="144"/>
        <v>1000 microfarad ELECTROLYTIC (16V) cap</v>
      </c>
      <c r="X74" s="29" t="str">
        <f t="shared" si="145"/>
        <v>DigiKey</v>
      </c>
      <c r="Y74" s="30" t="str">
        <f t="shared" si="146"/>
        <v>P5142-ND</v>
      </c>
      <c r="Z74" t="s">
        <v>143</v>
      </c>
    </row>
    <row r="75" spans="1:27" x14ac:dyDescent="0.2">
      <c r="A75" s="152">
        <v>7</v>
      </c>
      <c r="B75" s="150">
        <f t="shared" si="155"/>
        <v>5.7749999999999995</v>
      </c>
      <c r="C75" s="40">
        <v>4</v>
      </c>
      <c r="D75" s="48" t="s">
        <v>417</v>
      </c>
      <c r="E75" t="s">
        <v>421</v>
      </c>
      <c r="F75">
        <v>1</v>
      </c>
      <c r="G75" s="40" t="s">
        <v>424</v>
      </c>
      <c r="H75" s="48" t="s">
        <v>423</v>
      </c>
      <c r="I75" s="138" t="s">
        <v>425</v>
      </c>
      <c r="J75" s="29" t="s">
        <v>140</v>
      </c>
      <c r="K75" t="s">
        <v>142</v>
      </c>
      <c r="L75">
        <v>1</v>
      </c>
      <c r="M75" t="s">
        <v>24</v>
      </c>
      <c r="N75" s="3">
        <v>0.75</v>
      </c>
      <c r="O75" s="3"/>
      <c r="P75" s="3">
        <f t="shared" si="147"/>
        <v>7.5000000000000011E-2</v>
      </c>
      <c r="Q75" s="4">
        <f t="shared" si="156"/>
        <v>0.82499999999999996</v>
      </c>
      <c r="R75" s="4"/>
      <c r="S75">
        <f t="shared" si="157"/>
        <v>6</v>
      </c>
      <c r="T75">
        <f t="shared" si="148"/>
        <v>7</v>
      </c>
      <c r="U75" s="90">
        <f t="shared" si="158"/>
        <v>0</v>
      </c>
      <c r="V75" s="29" t="str">
        <f t="shared" si="143"/>
        <v>+9V REF for Battery LED</v>
      </c>
      <c r="W75" s="29" t="str">
        <f t="shared" si="144"/>
        <v>LM4041 PRECISION VOLTAGE REF</v>
      </c>
      <c r="X75" s="29" t="str">
        <f t="shared" si="145"/>
        <v>DigiKey</v>
      </c>
      <c r="Y75" s="30" t="str">
        <f t="shared" si="146"/>
        <v>LM4041DIZ-ADJ/NOPB-ND</v>
      </c>
      <c r="Z75" t="s">
        <v>143</v>
      </c>
      <c r="AA75" s="40"/>
    </row>
    <row r="76" spans="1:27" x14ac:dyDescent="0.2">
      <c r="A76" s="152">
        <v>10</v>
      </c>
      <c r="B76" s="150">
        <f t="shared" ref="B76" si="159">A76*Q76/F76</f>
        <v>13.2</v>
      </c>
      <c r="C76" s="8">
        <v>5</v>
      </c>
      <c r="D76" s="29" t="s">
        <v>282</v>
      </c>
      <c r="E76" t="s">
        <v>421</v>
      </c>
      <c r="F76">
        <v>1</v>
      </c>
      <c r="G76" s="40" t="s">
        <v>591</v>
      </c>
      <c r="H76" s="29" t="s">
        <v>286</v>
      </c>
      <c r="I76" s="29" t="s">
        <v>285</v>
      </c>
      <c r="J76" s="29" t="s">
        <v>140</v>
      </c>
      <c r="K76" t="s">
        <v>142</v>
      </c>
      <c r="L76">
        <v>1</v>
      </c>
      <c r="M76" t="s">
        <v>24</v>
      </c>
      <c r="N76" s="3">
        <v>1.2</v>
      </c>
      <c r="O76" s="3"/>
      <c r="P76" s="3">
        <f t="shared" ref="P76" si="160">(O76+N76)*0.1</f>
        <v>0.12</v>
      </c>
      <c r="Q76" s="4">
        <f t="shared" ref="Q76" si="161">F76*(P76+O76*$O$69+N76)</f>
        <v>1.3199999999999998</v>
      </c>
      <c r="R76" s="4"/>
      <c r="S76">
        <f t="shared" ref="S76" si="162">$T$68*F76</f>
        <v>6</v>
      </c>
      <c r="T76">
        <f t="shared" ref="T76" si="163">A76</f>
        <v>10</v>
      </c>
      <c r="U76" s="90">
        <f t="shared" ref="U76" si="164">IF(S76-T76&gt;0, S76-T76, 0)</f>
        <v>0</v>
      </c>
      <c r="V76" s="29" t="str">
        <f t="shared" ref="V76" si="165">I76</f>
        <v>Polythermal current limiter - 9A</v>
      </c>
      <c r="W76" s="29" t="str">
        <f t="shared" ref="W76" si="166">H76</f>
        <v>9A PTC</v>
      </c>
      <c r="X76" s="29" t="str">
        <f t="shared" ref="X76" si="167">K76</f>
        <v>DigiKey</v>
      </c>
      <c r="Y76" s="30" t="str">
        <f t="shared" ref="Y76" si="168">G76</f>
        <v>RGEF900HF-ND</v>
      </c>
      <c r="Z76" t="s">
        <v>143</v>
      </c>
      <c r="AA76" s="40"/>
    </row>
    <row r="77" spans="1:27" x14ac:dyDescent="0.2">
      <c r="A77" s="152">
        <v>5</v>
      </c>
      <c r="B77" s="150">
        <f t="shared" si="155"/>
        <v>8.25</v>
      </c>
      <c r="C77" s="8">
        <v>6</v>
      </c>
      <c r="D77" s="29" t="s">
        <v>283</v>
      </c>
      <c r="E77" t="s">
        <v>421</v>
      </c>
      <c r="F77">
        <v>1</v>
      </c>
      <c r="G77" s="40" t="s">
        <v>590</v>
      </c>
      <c r="H77" s="29" t="s">
        <v>287</v>
      </c>
      <c r="I77" s="29" t="s">
        <v>284</v>
      </c>
      <c r="J77" s="29" t="s">
        <v>140</v>
      </c>
      <c r="K77" t="s">
        <v>142</v>
      </c>
      <c r="L77">
        <v>1</v>
      </c>
      <c r="M77" t="s">
        <v>24</v>
      </c>
      <c r="N77" s="3">
        <v>1.5</v>
      </c>
      <c r="O77" s="3"/>
      <c r="P77" s="3">
        <f t="shared" si="147"/>
        <v>0.15000000000000002</v>
      </c>
      <c r="Q77" s="4">
        <f t="shared" si="156"/>
        <v>1.65</v>
      </c>
      <c r="R77" s="4"/>
      <c r="S77">
        <f t="shared" si="157"/>
        <v>6</v>
      </c>
      <c r="T77">
        <f t="shared" si="148"/>
        <v>5</v>
      </c>
      <c r="U77" s="90">
        <f t="shared" si="158"/>
        <v>1</v>
      </c>
      <c r="V77" s="29" t="str">
        <f t="shared" si="143"/>
        <v>Polythermal current limiter - 14A</v>
      </c>
      <c r="W77" s="29" t="str">
        <f t="shared" si="144"/>
        <v>14A PTC</v>
      </c>
      <c r="X77" s="29" t="str">
        <f t="shared" si="145"/>
        <v>DigiKey</v>
      </c>
      <c r="Y77" s="30" t="str">
        <f t="shared" si="146"/>
        <v>RGEF1400HF-ND</v>
      </c>
      <c r="Z77" t="s">
        <v>143</v>
      </c>
      <c r="AA77" s="40"/>
    </row>
    <row r="78" spans="1:27" x14ac:dyDescent="0.2">
      <c r="A78" s="152">
        <v>20</v>
      </c>
      <c r="B78" s="150">
        <f t="shared" si="155"/>
        <v>6.6</v>
      </c>
      <c r="C78" s="8">
        <v>7</v>
      </c>
      <c r="D78" s="29" t="s">
        <v>308</v>
      </c>
      <c r="E78" t="s">
        <v>421</v>
      </c>
      <c r="F78">
        <v>2</v>
      </c>
      <c r="G78" s="30" t="s">
        <v>331</v>
      </c>
      <c r="H78" t="s">
        <v>210</v>
      </c>
      <c r="I78" s="29" t="s">
        <v>292</v>
      </c>
      <c r="J78" s="29" t="s">
        <v>140</v>
      </c>
      <c r="K78" t="s">
        <v>142</v>
      </c>
      <c r="L78">
        <v>1</v>
      </c>
      <c r="M78" t="s">
        <v>24</v>
      </c>
      <c r="N78" s="3">
        <v>0.3</v>
      </c>
      <c r="O78" s="3"/>
      <c r="P78" s="3">
        <f t="shared" si="147"/>
        <v>0.03</v>
      </c>
      <c r="Q78" s="4">
        <f t="shared" si="156"/>
        <v>0.65999999999999992</v>
      </c>
      <c r="R78" s="4"/>
      <c r="S78">
        <f t="shared" si="157"/>
        <v>12</v>
      </c>
      <c r="T78">
        <f t="shared" si="148"/>
        <v>20</v>
      </c>
      <c r="U78" s="90">
        <f t="shared" si="158"/>
        <v>0</v>
      </c>
      <c r="V78" s="29" t="str">
        <f t="shared" si="143"/>
        <v>reverse polarity protect - main power relay</v>
      </c>
      <c r="W78" s="29" t="str">
        <f t="shared" si="144"/>
        <v>power diode</v>
      </c>
      <c r="X78" s="29" t="str">
        <f t="shared" si="145"/>
        <v>DigiKey</v>
      </c>
      <c r="Y78" s="30" t="str">
        <f t="shared" si="146"/>
        <v>1N4007-E3/54GICT-ND</v>
      </c>
      <c r="Z78" t="s">
        <v>143</v>
      </c>
    </row>
    <row r="79" spans="1:27" x14ac:dyDescent="0.2">
      <c r="A79" s="152">
        <v>20</v>
      </c>
      <c r="B79" s="150">
        <f t="shared" si="155"/>
        <v>44.22</v>
      </c>
      <c r="C79" s="8">
        <v>8</v>
      </c>
      <c r="D79" s="29" t="s">
        <v>309</v>
      </c>
      <c r="E79" t="s">
        <v>421</v>
      </c>
      <c r="F79">
        <v>1</v>
      </c>
      <c r="G79" s="25" t="s">
        <v>214</v>
      </c>
      <c r="H79" s="38" t="s">
        <v>190</v>
      </c>
      <c r="I79" s="29" t="s">
        <v>267</v>
      </c>
      <c r="J79" s="29" t="s">
        <v>140</v>
      </c>
      <c r="K79" t="s">
        <v>142</v>
      </c>
      <c r="L79">
        <v>1</v>
      </c>
      <c r="M79" t="s">
        <v>24</v>
      </c>
      <c r="N79" s="3">
        <v>2.0099999999999998</v>
      </c>
      <c r="O79" s="3"/>
      <c r="P79" s="3">
        <f t="shared" si="147"/>
        <v>0.20099999999999998</v>
      </c>
      <c r="Q79" s="4">
        <f t="shared" si="156"/>
        <v>2.2109999999999999</v>
      </c>
      <c r="R79" s="4"/>
      <c r="S79">
        <f t="shared" si="157"/>
        <v>6</v>
      </c>
      <c r="T79">
        <f t="shared" si="148"/>
        <v>20</v>
      </c>
      <c r="U79" s="90">
        <f t="shared" si="158"/>
        <v>0</v>
      </c>
      <c r="V79" s="29" t="str">
        <f t="shared" si="143"/>
        <v>motor drive suppressor diode</v>
      </c>
      <c r="W79" s="29" t="str">
        <f t="shared" si="144"/>
        <v>Zener diode – 20V 500W bi-directional</v>
      </c>
      <c r="X79" s="29" t="str">
        <f t="shared" si="145"/>
        <v>DigiKey</v>
      </c>
      <c r="Y79" s="30" t="str">
        <f t="shared" si="146"/>
        <v>SA20CADICT-ND</v>
      </c>
      <c r="Z79" t="s">
        <v>143</v>
      </c>
    </row>
    <row r="80" spans="1:27" x14ac:dyDescent="0.2">
      <c r="A80" s="152">
        <v>20</v>
      </c>
      <c r="B80" s="150">
        <f t="shared" si="155"/>
        <v>11</v>
      </c>
      <c r="C80" s="8">
        <v>9</v>
      </c>
      <c r="D80" s="29" t="s">
        <v>310</v>
      </c>
      <c r="E80" t="s">
        <v>421</v>
      </c>
      <c r="F80">
        <v>3</v>
      </c>
      <c r="G80" s="30" t="s">
        <v>332</v>
      </c>
      <c r="H80" s="29" t="s">
        <v>333</v>
      </c>
      <c r="I80" t="s">
        <v>209</v>
      </c>
      <c r="J80" s="29" t="s">
        <v>140</v>
      </c>
      <c r="K80" t="s">
        <v>142</v>
      </c>
      <c r="L80">
        <v>1</v>
      </c>
      <c r="M80" t="s">
        <v>24</v>
      </c>
      <c r="N80" s="3">
        <v>0.5</v>
      </c>
      <c r="O80" s="3"/>
      <c r="P80" s="3">
        <f t="shared" si="147"/>
        <v>0.05</v>
      </c>
      <c r="Q80" s="4">
        <f t="shared" si="156"/>
        <v>1.6500000000000001</v>
      </c>
      <c r="R80" s="4"/>
      <c r="S80">
        <f t="shared" si="157"/>
        <v>18</v>
      </c>
      <c r="T80">
        <f t="shared" si="148"/>
        <v>20</v>
      </c>
      <c r="U80" s="90">
        <f t="shared" si="158"/>
        <v>0</v>
      </c>
      <c r="V80" s="29" t="str">
        <f t="shared" si="143"/>
        <v>reverse polarity protection</v>
      </c>
      <c r="W80" s="29" t="str">
        <f t="shared" si="144"/>
        <v>BAT48 40V schotky diode</v>
      </c>
      <c r="X80" s="29" t="str">
        <f t="shared" si="145"/>
        <v>DigiKey</v>
      </c>
      <c r="Y80" s="30" t="str">
        <f t="shared" si="146"/>
        <v>497-2512-1-ND</v>
      </c>
      <c r="Z80" t="s">
        <v>143</v>
      </c>
    </row>
    <row r="81" spans="1:26" x14ac:dyDescent="0.2">
      <c r="A81" s="152">
        <v>39</v>
      </c>
      <c r="B81" s="150">
        <f t="shared" si="155"/>
        <v>8.5800000000000018</v>
      </c>
      <c r="C81" s="8">
        <v>10</v>
      </c>
      <c r="D81" s="48" t="s">
        <v>584</v>
      </c>
      <c r="E81" t="s">
        <v>421</v>
      </c>
      <c r="F81">
        <v>4</v>
      </c>
      <c r="G81" s="30" t="s">
        <v>145</v>
      </c>
      <c r="H81" t="s">
        <v>146</v>
      </c>
      <c r="I81" s="48" t="s">
        <v>533</v>
      </c>
      <c r="J81" s="29" t="s">
        <v>140</v>
      </c>
      <c r="K81" t="s">
        <v>142</v>
      </c>
      <c r="L81">
        <v>1</v>
      </c>
      <c r="M81" t="s">
        <v>24</v>
      </c>
      <c r="N81" s="3">
        <v>0.2</v>
      </c>
      <c r="O81" s="3"/>
      <c r="P81" s="3">
        <f t="shared" si="147"/>
        <v>2.0000000000000004E-2</v>
      </c>
      <c r="Q81" s="4">
        <f t="shared" si="156"/>
        <v>0.88000000000000012</v>
      </c>
      <c r="R81" s="4"/>
      <c r="S81">
        <f t="shared" si="157"/>
        <v>24</v>
      </c>
      <c r="T81">
        <f t="shared" si="148"/>
        <v>39</v>
      </c>
      <c r="U81" s="90">
        <f t="shared" si="158"/>
        <v>0</v>
      </c>
      <c r="V81" s="29" t="str">
        <f t="shared" si="143"/>
        <v>LED driver</v>
      </c>
      <c r="W81" s="29" t="str">
        <f t="shared" si="144"/>
        <v>signal diode</v>
      </c>
      <c r="X81" s="29" t="str">
        <f t="shared" si="145"/>
        <v>DigiKey</v>
      </c>
      <c r="Y81" s="30" t="str">
        <f t="shared" si="146"/>
        <v>1N4148MSCT-ND</v>
      </c>
      <c r="Z81" t="s">
        <v>143</v>
      </c>
    </row>
    <row r="82" spans="1:26" x14ac:dyDescent="0.2">
      <c r="A82" s="152">
        <v>70</v>
      </c>
      <c r="B82" s="150">
        <f t="shared" si="155"/>
        <v>46.2</v>
      </c>
      <c r="C82" s="8">
        <v>11</v>
      </c>
      <c r="D82" s="48" t="s">
        <v>585</v>
      </c>
      <c r="E82" t="s">
        <v>421</v>
      </c>
      <c r="F82">
        <v>5</v>
      </c>
      <c r="G82" s="8" t="s">
        <v>387</v>
      </c>
      <c r="H82" t="s">
        <v>384</v>
      </c>
      <c r="I82" s="29" t="s">
        <v>288</v>
      </c>
      <c r="J82" s="29" t="s">
        <v>140</v>
      </c>
      <c r="K82" t="s">
        <v>142</v>
      </c>
      <c r="L82">
        <v>1</v>
      </c>
      <c r="M82" t="s">
        <v>24</v>
      </c>
      <c r="N82" s="3">
        <v>0.6</v>
      </c>
      <c r="O82" s="3"/>
      <c r="P82" s="3">
        <f t="shared" si="147"/>
        <v>0.06</v>
      </c>
      <c r="Q82" s="4">
        <f t="shared" si="156"/>
        <v>3.3</v>
      </c>
      <c r="R82" s="4"/>
      <c r="S82">
        <f t="shared" si="157"/>
        <v>30</v>
      </c>
      <c r="T82">
        <f t="shared" si="148"/>
        <v>70</v>
      </c>
      <c r="U82" s="90">
        <f t="shared" si="158"/>
        <v>0</v>
      </c>
      <c r="V82" s="29" t="str">
        <f t="shared" si="143"/>
        <v>indicator LEDs</v>
      </c>
      <c r="W82" s="29" t="str">
        <f t="shared" si="144"/>
        <v>high brightness RED LED (30mA) pg 583</v>
      </c>
      <c r="X82" s="29" t="str">
        <f t="shared" si="145"/>
        <v>DigiKey</v>
      </c>
      <c r="Y82" s="30" t="str">
        <f t="shared" si="146"/>
        <v>XLM2MR12W</v>
      </c>
      <c r="Z82" t="s">
        <v>143</v>
      </c>
    </row>
    <row r="83" spans="1:26" x14ac:dyDescent="0.2">
      <c r="A83" s="152">
        <v>5</v>
      </c>
      <c r="B83" s="150">
        <f t="shared" si="155"/>
        <v>48.999999999999993</v>
      </c>
      <c r="C83" s="8">
        <v>13</v>
      </c>
      <c r="D83" s="29" t="s">
        <v>151</v>
      </c>
      <c r="E83" t="s">
        <v>421</v>
      </c>
      <c r="F83">
        <v>1</v>
      </c>
      <c r="G83" s="59" t="s">
        <v>216</v>
      </c>
      <c r="H83" t="s">
        <v>213</v>
      </c>
      <c r="I83" s="29" t="s">
        <v>299</v>
      </c>
      <c r="J83" s="29" t="s">
        <v>140</v>
      </c>
      <c r="K83" t="s">
        <v>208</v>
      </c>
      <c r="L83">
        <v>3</v>
      </c>
      <c r="M83" t="s">
        <v>24</v>
      </c>
      <c r="N83" s="3"/>
      <c r="O83" s="3">
        <v>7</v>
      </c>
      <c r="P83" s="3">
        <f t="shared" si="147"/>
        <v>0.70000000000000007</v>
      </c>
      <c r="Q83" s="4">
        <f t="shared" si="156"/>
        <v>9.7999999999999989</v>
      </c>
      <c r="R83" s="4"/>
      <c r="S83">
        <f t="shared" si="157"/>
        <v>6</v>
      </c>
      <c r="T83">
        <f t="shared" si="148"/>
        <v>5</v>
      </c>
      <c r="U83" s="90">
        <f t="shared" si="158"/>
        <v>1</v>
      </c>
      <c r="V83" s="29" t="str">
        <f t="shared" si="143"/>
        <v>DC motor drive relay</v>
      </c>
      <c r="W83" s="29" t="str">
        <f t="shared" si="144"/>
        <v>10V DPDT reversing relay (20A)</v>
      </c>
      <c r="X83" s="29" t="str">
        <f t="shared" si="145"/>
        <v>Mouser</v>
      </c>
      <c r="Y83" s="30" t="str">
        <f t="shared" si="146"/>
        <v>817-FTR-P2CN010W1</v>
      </c>
    </row>
    <row r="84" spans="1:26" x14ac:dyDescent="0.2">
      <c r="A84" s="152">
        <v>5</v>
      </c>
      <c r="B84" s="150">
        <f t="shared" si="155"/>
        <v>26.125</v>
      </c>
      <c r="C84" s="8">
        <v>15</v>
      </c>
      <c r="D84" s="29" t="s">
        <v>289</v>
      </c>
      <c r="E84" t="s">
        <v>421</v>
      </c>
      <c r="F84">
        <v>1</v>
      </c>
      <c r="G84" s="8" t="s">
        <v>290</v>
      </c>
      <c r="H84" s="29" t="s">
        <v>293</v>
      </c>
      <c r="I84" s="29" t="s">
        <v>291</v>
      </c>
      <c r="J84" s="29" t="s">
        <v>140</v>
      </c>
      <c r="K84" t="s">
        <v>142</v>
      </c>
      <c r="L84">
        <v>2</v>
      </c>
      <c r="M84" t="s">
        <v>24</v>
      </c>
      <c r="N84" s="3">
        <v>4.75</v>
      </c>
      <c r="O84" s="3"/>
      <c r="P84" s="3">
        <f t="shared" si="147"/>
        <v>0.47500000000000003</v>
      </c>
      <c r="Q84" s="4">
        <f t="shared" si="156"/>
        <v>5.2249999999999996</v>
      </c>
      <c r="R84" s="4"/>
      <c r="S84">
        <f t="shared" si="157"/>
        <v>6</v>
      </c>
      <c r="T84">
        <f t="shared" si="148"/>
        <v>5</v>
      </c>
      <c r="U84" s="90">
        <f t="shared" si="158"/>
        <v>1</v>
      </c>
      <c r="V84" s="29" t="str">
        <f t="shared" si="143"/>
        <v>main power relay - reverse polarity protect</v>
      </c>
      <c r="W84" s="29" t="e">
        <f>#REF!</f>
        <v>#REF!</v>
      </c>
      <c r="X84" s="29" t="str">
        <f t="shared" si="145"/>
        <v>DigiKey</v>
      </c>
      <c r="Y84" s="30" t="str">
        <f>H84</f>
        <v>OMRON G2R-1A-E  2068W1  12V/16A</v>
      </c>
    </row>
    <row r="85" spans="1:26" x14ac:dyDescent="0.2">
      <c r="A85" s="152">
        <v>10</v>
      </c>
      <c r="B85" s="150">
        <f t="shared" si="155"/>
        <v>1.1000000000000001</v>
      </c>
      <c r="C85" s="8">
        <v>16</v>
      </c>
      <c r="D85" s="29" t="s">
        <v>212</v>
      </c>
      <c r="E85" t="s">
        <v>421</v>
      </c>
      <c r="F85">
        <v>1</v>
      </c>
      <c r="G85" s="30" t="s">
        <v>278</v>
      </c>
      <c r="H85" s="48" t="s">
        <v>426</v>
      </c>
      <c r="I85" s="29" t="s">
        <v>266</v>
      </c>
      <c r="J85" s="29" t="s">
        <v>140</v>
      </c>
      <c r="K85" t="s">
        <v>142</v>
      </c>
      <c r="L85">
        <v>1</v>
      </c>
      <c r="M85" t="s">
        <v>24</v>
      </c>
      <c r="N85" s="3">
        <v>0.1</v>
      </c>
      <c r="O85" s="3"/>
      <c r="P85" s="3">
        <f t="shared" si="147"/>
        <v>1.0000000000000002E-2</v>
      </c>
      <c r="Q85" s="4">
        <f t="shared" si="156"/>
        <v>0.11000000000000001</v>
      </c>
      <c r="R85" s="4"/>
      <c r="S85">
        <f t="shared" si="157"/>
        <v>6</v>
      </c>
      <c r="T85">
        <f t="shared" si="148"/>
        <v>10</v>
      </c>
      <c r="U85" s="90">
        <f t="shared" si="158"/>
        <v>0</v>
      </c>
      <c r="V85" s="29" t="str">
        <f t="shared" ref="V85:V97" si="169">I85</f>
        <v>relay coil resistor</v>
      </c>
      <c r="W85" s="29" t="str">
        <f t="shared" ref="W85:W104" si="170">H85</f>
        <v>47R - 5% 1/4 W resistor</v>
      </c>
      <c r="X85" s="29" t="str">
        <f t="shared" ref="X85:X97" si="171">K85</f>
        <v>DigiKey</v>
      </c>
      <c r="Y85" s="30" t="str">
        <f t="shared" ref="Y85:Y104" si="172">G85</f>
        <v>47RQBK-ND</v>
      </c>
      <c r="Z85" t="s">
        <v>143</v>
      </c>
    </row>
    <row r="86" spans="1:26" x14ac:dyDescent="0.2">
      <c r="A86" s="152">
        <v>50</v>
      </c>
      <c r="B86" s="150">
        <f t="shared" si="155"/>
        <v>5.5000000000000009</v>
      </c>
      <c r="C86" s="8">
        <v>17</v>
      </c>
      <c r="D86" s="48" t="s">
        <v>545</v>
      </c>
      <c r="E86" t="s">
        <v>421</v>
      </c>
      <c r="F86">
        <v>6</v>
      </c>
      <c r="G86" s="30" t="s">
        <v>155</v>
      </c>
      <c r="H86" s="48" t="s">
        <v>427</v>
      </c>
      <c r="I86" s="29" t="s">
        <v>314</v>
      </c>
      <c r="J86" s="29" t="s">
        <v>140</v>
      </c>
      <c r="K86" t="s">
        <v>142</v>
      </c>
      <c r="L86">
        <v>1</v>
      </c>
      <c r="M86" t="s">
        <v>24</v>
      </c>
      <c r="N86" s="3">
        <v>0.1</v>
      </c>
      <c r="O86" s="3"/>
      <c r="P86" s="3">
        <f t="shared" si="147"/>
        <v>1.0000000000000002E-2</v>
      </c>
      <c r="Q86" s="4">
        <f t="shared" si="156"/>
        <v>0.66000000000000014</v>
      </c>
      <c r="R86" s="4"/>
      <c r="S86">
        <f t="shared" si="157"/>
        <v>36</v>
      </c>
      <c r="T86">
        <f t="shared" si="148"/>
        <v>50</v>
      </c>
      <c r="U86" s="90">
        <f t="shared" si="158"/>
        <v>0</v>
      </c>
      <c r="V86" s="29" t="str">
        <f>I86</f>
        <v>LED resistor</v>
      </c>
      <c r="W86" s="29" t="str">
        <f t="shared" si="170"/>
        <v>1K - 5% 1/8 W resistor</v>
      </c>
      <c r="X86" s="29" t="str">
        <f>K86</f>
        <v>DigiKey</v>
      </c>
      <c r="Y86" s="30" t="str">
        <f t="shared" si="172"/>
        <v>1KEBK-ND</v>
      </c>
      <c r="Z86" t="s">
        <v>143</v>
      </c>
    </row>
    <row r="87" spans="1:26" x14ac:dyDescent="0.2">
      <c r="A87" s="152">
        <v>20</v>
      </c>
      <c r="B87" s="150">
        <f t="shared" si="155"/>
        <v>2.2000000000000006</v>
      </c>
      <c r="C87" s="8">
        <v>18</v>
      </c>
      <c r="D87" s="29" t="s">
        <v>390</v>
      </c>
      <c r="E87" t="s">
        <v>421</v>
      </c>
      <c r="F87">
        <v>6</v>
      </c>
      <c r="G87" s="8" t="s">
        <v>157</v>
      </c>
      <c r="H87" s="48" t="s">
        <v>428</v>
      </c>
      <c r="I87" s="29" t="s">
        <v>265</v>
      </c>
      <c r="J87" s="29" t="s">
        <v>140</v>
      </c>
      <c r="K87" t="s">
        <v>142</v>
      </c>
      <c r="L87">
        <v>1</v>
      </c>
      <c r="M87" t="s">
        <v>24</v>
      </c>
      <c r="N87" s="3">
        <v>0.1</v>
      </c>
      <c r="O87" s="3"/>
      <c r="P87" s="3">
        <f t="shared" si="147"/>
        <v>1.0000000000000002E-2</v>
      </c>
      <c r="Q87" s="4">
        <f t="shared" si="156"/>
        <v>0.66000000000000014</v>
      </c>
      <c r="R87" s="4"/>
      <c r="S87">
        <f t="shared" si="157"/>
        <v>36</v>
      </c>
      <c r="T87">
        <f t="shared" si="148"/>
        <v>20</v>
      </c>
      <c r="U87" s="90">
        <f t="shared" si="158"/>
        <v>16</v>
      </c>
      <c r="V87" s="29" t="str">
        <f t="shared" si="169"/>
        <v>joystick reference</v>
      </c>
      <c r="W87" s="29" t="str">
        <f t="shared" si="170"/>
        <v>10K - 5% 1/8 W resistor</v>
      </c>
      <c r="X87" s="29" t="str">
        <f t="shared" si="171"/>
        <v>DigiKey</v>
      </c>
      <c r="Y87" s="30" t="str">
        <f t="shared" si="172"/>
        <v>10KEBK-ND</v>
      </c>
      <c r="Z87" t="s">
        <v>143</v>
      </c>
    </row>
    <row r="88" spans="1:26" x14ac:dyDescent="0.2">
      <c r="A88" s="152">
        <v>25</v>
      </c>
      <c r="B88" s="150">
        <f t="shared" ref="B88" si="173">A88*Q88/F88</f>
        <v>5</v>
      </c>
      <c r="C88" s="40" t="s">
        <v>547</v>
      </c>
      <c r="D88" s="48" t="s">
        <v>598</v>
      </c>
      <c r="E88" t="s">
        <v>421</v>
      </c>
      <c r="F88">
        <v>1</v>
      </c>
      <c r="G88" s="40" t="s">
        <v>592</v>
      </c>
      <c r="H88" s="48" t="s">
        <v>593</v>
      </c>
      <c r="I88" s="90" t="s">
        <v>594</v>
      </c>
      <c r="J88" s="29" t="s">
        <v>140</v>
      </c>
      <c r="K88" t="s">
        <v>142</v>
      </c>
      <c r="L88">
        <v>1</v>
      </c>
      <c r="M88" t="s">
        <v>24</v>
      </c>
      <c r="N88" s="3">
        <v>0.1</v>
      </c>
      <c r="O88" s="3"/>
      <c r="P88" s="3">
        <v>0.1</v>
      </c>
      <c r="Q88" s="4">
        <f t="shared" ref="Q88" si="174">F88*(P88+O88*$O$69+N88)</f>
        <v>0.2</v>
      </c>
      <c r="R88" s="4"/>
      <c r="S88">
        <f t="shared" ref="S88" si="175">$T$68*F88</f>
        <v>6</v>
      </c>
      <c r="T88">
        <f t="shared" ref="T88" si="176">A88</f>
        <v>25</v>
      </c>
      <c r="U88" s="90">
        <f t="shared" ref="U88" si="177">IF(S88-T88&gt;0, S88-T88, 0)</f>
        <v>0</v>
      </c>
      <c r="V88" s="29" t="str">
        <f t="shared" ref="V88" si="178">I88</f>
        <v>Vref voltage divider REVB/C PCB</v>
      </c>
      <c r="W88" s="29" t="str">
        <f t="shared" ref="W88" si="179">H88</f>
        <v>115K - 1% 1/4 W resistor (critical value)</v>
      </c>
      <c r="X88" s="29" t="str">
        <f t="shared" ref="X88" si="180">K88</f>
        <v>DigiKey</v>
      </c>
      <c r="Y88" s="30" t="str">
        <f t="shared" ref="Y88" si="181">G88</f>
        <v>115KXBK-ND</v>
      </c>
      <c r="Z88" t="s">
        <v>143</v>
      </c>
    </row>
    <row r="89" spans="1:26" x14ac:dyDescent="0.2">
      <c r="A89" s="152">
        <v>25</v>
      </c>
      <c r="B89" s="150">
        <f t="shared" si="155"/>
        <v>5</v>
      </c>
      <c r="C89" s="40" t="s">
        <v>547</v>
      </c>
      <c r="D89" s="48" t="s">
        <v>599</v>
      </c>
      <c r="E89" t="s">
        <v>421</v>
      </c>
      <c r="F89">
        <v>1</v>
      </c>
      <c r="G89" s="40" t="s">
        <v>588</v>
      </c>
      <c r="H89" s="48" t="s">
        <v>589</v>
      </c>
      <c r="I89" s="90" t="s">
        <v>594</v>
      </c>
      <c r="J89" s="29" t="s">
        <v>140</v>
      </c>
      <c r="K89" t="s">
        <v>142</v>
      </c>
      <c r="L89">
        <v>1</v>
      </c>
      <c r="M89" t="s">
        <v>24</v>
      </c>
      <c r="N89" s="3">
        <v>0.1</v>
      </c>
      <c r="O89" s="3"/>
      <c r="P89" s="3">
        <v>0.1</v>
      </c>
      <c r="Q89" s="4">
        <f t="shared" si="156"/>
        <v>0.2</v>
      </c>
      <c r="R89" s="4"/>
      <c r="S89">
        <f t="shared" si="157"/>
        <v>6</v>
      </c>
      <c r="T89">
        <f t="shared" si="148"/>
        <v>25</v>
      </c>
      <c r="U89" s="90">
        <f t="shared" si="158"/>
        <v>0</v>
      </c>
      <c r="V89" s="29" t="str">
        <f t="shared" si="169"/>
        <v>Vref voltage divider REVB/C PCB</v>
      </c>
      <c r="W89" s="29" t="str">
        <f t="shared" si="170"/>
        <v>118K - 1% 1/4 W resistor (critical value)</v>
      </c>
      <c r="X89" s="29" t="str">
        <f t="shared" si="171"/>
        <v>DigiKey</v>
      </c>
      <c r="Y89" s="30" t="str">
        <f t="shared" si="172"/>
        <v>118KXBK-ND</v>
      </c>
      <c r="Z89" t="s">
        <v>143</v>
      </c>
    </row>
    <row r="90" spans="1:26" x14ac:dyDescent="0.2">
      <c r="A90" s="152">
        <v>25</v>
      </c>
      <c r="B90" s="150">
        <f t="shared" ref="B90:B91" si="182">A90*Q90/F90</f>
        <v>5</v>
      </c>
      <c r="C90" s="40" t="s">
        <v>548</v>
      </c>
      <c r="D90" s="48" t="s">
        <v>400</v>
      </c>
      <c r="E90" t="s">
        <v>421</v>
      </c>
      <c r="F90">
        <v>1</v>
      </c>
      <c r="G90" s="40" t="s">
        <v>555</v>
      </c>
      <c r="H90" s="48" t="s">
        <v>554</v>
      </c>
      <c r="I90" s="90" t="s">
        <v>594</v>
      </c>
      <c r="J90" s="29" t="s">
        <v>140</v>
      </c>
      <c r="K90" t="s">
        <v>142</v>
      </c>
      <c r="L90">
        <v>1</v>
      </c>
      <c r="M90" t="s">
        <v>24</v>
      </c>
      <c r="N90" s="3">
        <v>0.1</v>
      </c>
      <c r="O90" s="3"/>
      <c r="P90" s="3">
        <v>0.1</v>
      </c>
      <c r="Q90" s="4">
        <f t="shared" ref="Q90:Q91" si="183">F90*(P90+O90*$O$69+N90)</f>
        <v>0.2</v>
      </c>
      <c r="R90" s="4"/>
      <c r="S90">
        <f t="shared" ref="S90:S91" si="184">$T$68*F90</f>
        <v>6</v>
      </c>
      <c r="T90">
        <f t="shared" ref="T90:T91" si="185">A90</f>
        <v>25</v>
      </c>
      <c r="U90" s="90">
        <f t="shared" ref="U90:U91" si="186">IF(S90-T90&gt;0, S90-T90, 0)</f>
        <v>0</v>
      </c>
      <c r="V90" s="29" t="str">
        <f t="shared" ref="V90:V91" si="187">I90</f>
        <v>Vref voltage divider REVB/C PCB</v>
      </c>
      <c r="W90" s="29" t="str">
        <f t="shared" ref="W90:W91" si="188">H90</f>
        <v>1M - 1% 1/4 W resistor (critical value)</v>
      </c>
      <c r="X90" s="29" t="str">
        <f t="shared" ref="X90:X91" si="189">K90</f>
        <v>DigiKey</v>
      </c>
      <c r="Y90" s="30" t="str">
        <f t="shared" ref="Y90:Y91" si="190">G90</f>
        <v>1.00MXBK-ND</v>
      </c>
      <c r="Z90" t="s">
        <v>143</v>
      </c>
    </row>
    <row r="91" spans="1:26" x14ac:dyDescent="0.2">
      <c r="A91" s="152"/>
      <c r="B91" s="150">
        <f t="shared" si="182"/>
        <v>0</v>
      </c>
      <c r="C91" s="8">
        <v>21</v>
      </c>
      <c r="D91" s="48" t="s">
        <v>399</v>
      </c>
      <c r="E91" t="s">
        <v>421</v>
      </c>
      <c r="F91">
        <v>1</v>
      </c>
      <c r="G91" s="40" t="s">
        <v>587</v>
      </c>
      <c r="H91" s="48" t="s">
        <v>586</v>
      </c>
      <c r="I91" s="48" t="s">
        <v>595</v>
      </c>
      <c r="J91" s="29" t="s">
        <v>140</v>
      </c>
      <c r="K91" t="s">
        <v>142</v>
      </c>
      <c r="L91">
        <v>1</v>
      </c>
      <c r="M91" t="s">
        <v>24</v>
      </c>
      <c r="N91" s="3">
        <v>0.1</v>
      </c>
      <c r="O91" s="3"/>
      <c r="P91" s="3">
        <v>0.1</v>
      </c>
      <c r="Q91" s="4">
        <f t="shared" si="183"/>
        <v>0.2</v>
      </c>
      <c r="R91" s="4"/>
      <c r="S91">
        <f t="shared" si="184"/>
        <v>6</v>
      </c>
      <c r="T91">
        <f t="shared" si="185"/>
        <v>0</v>
      </c>
      <c r="U91" s="90">
        <f t="shared" si="186"/>
        <v>6</v>
      </c>
      <c r="V91" s="29" t="str">
        <f t="shared" si="187"/>
        <v>BATTERY LED; REVB/C PCB</v>
      </c>
      <c r="W91" s="29" t="str">
        <f t="shared" si="188"/>
        <v>1.2K - 5% 1/8 W resistor</v>
      </c>
      <c r="X91" s="29" t="str">
        <f t="shared" si="189"/>
        <v>DigiKey</v>
      </c>
      <c r="Y91" s="30" t="str">
        <f t="shared" si="190"/>
        <v>1.2KEBK-ND</v>
      </c>
      <c r="Z91" t="s">
        <v>143</v>
      </c>
    </row>
    <row r="92" spans="1:26" x14ac:dyDescent="0.2">
      <c r="A92" s="152">
        <v>30</v>
      </c>
      <c r="B92" s="150">
        <f t="shared" si="155"/>
        <v>13.200000000000003</v>
      </c>
      <c r="C92" s="8">
        <v>23</v>
      </c>
      <c r="D92" s="29" t="s">
        <v>313</v>
      </c>
      <c r="E92" t="s">
        <v>421</v>
      </c>
      <c r="F92">
        <v>3</v>
      </c>
      <c r="G92" s="40" t="s">
        <v>696</v>
      </c>
      <c r="H92" s="48" t="s">
        <v>311</v>
      </c>
      <c r="I92" s="29" t="s">
        <v>312</v>
      </c>
      <c r="J92" s="29" t="s">
        <v>140</v>
      </c>
      <c r="K92" t="s">
        <v>142</v>
      </c>
      <c r="L92">
        <v>1</v>
      </c>
      <c r="M92" t="s">
        <v>24</v>
      </c>
      <c r="N92" s="3">
        <v>0.4</v>
      </c>
      <c r="O92" s="3"/>
      <c r="P92" s="3">
        <f>(O92+N92)*0.1</f>
        <v>4.0000000000000008E-2</v>
      </c>
      <c r="Q92" s="4">
        <f t="shared" si="156"/>
        <v>1.3200000000000003</v>
      </c>
      <c r="R92" s="4"/>
      <c r="S92">
        <f t="shared" si="157"/>
        <v>18</v>
      </c>
      <c r="T92">
        <f t="shared" si="148"/>
        <v>30</v>
      </c>
      <c r="U92" s="90">
        <f t="shared" si="158"/>
        <v>0</v>
      </c>
      <c r="V92" s="29" t="str">
        <f>I92</f>
        <v>RC Receiver connector</v>
      </c>
      <c r="W92" s="29" t="str">
        <f>H92</f>
        <v>.100 3-pin stick header</v>
      </c>
      <c r="X92" s="29" t="str">
        <f>K92</f>
        <v>DigiKey</v>
      </c>
      <c r="Y92" s="30" t="str">
        <f>G92</f>
        <v>900-0022032031-ND</v>
      </c>
      <c r="Z92" t="s">
        <v>143</v>
      </c>
    </row>
    <row r="93" spans="1:26" x14ac:dyDescent="0.2">
      <c r="A93" s="151">
        <v>40</v>
      </c>
      <c r="B93" s="150">
        <f t="shared" ref="B93" si="191">A93*Q93/F93</f>
        <v>15.399999999999997</v>
      </c>
      <c r="C93" s="8">
        <v>24</v>
      </c>
      <c r="D93" s="29" t="s">
        <v>391</v>
      </c>
      <c r="E93" t="s">
        <v>421</v>
      </c>
      <c r="F93">
        <v>3</v>
      </c>
      <c r="G93" s="40" t="s">
        <v>394</v>
      </c>
      <c r="H93" s="29" t="s">
        <v>392</v>
      </c>
      <c r="I93" s="29" t="s">
        <v>393</v>
      </c>
      <c r="J93" s="29" t="s">
        <v>140</v>
      </c>
      <c r="K93" t="s">
        <v>142</v>
      </c>
      <c r="L93">
        <v>1</v>
      </c>
      <c r="M93" t="s">
        <v>24</v>
      </c>
      <c r="N93" s="3">
        <v>0.35</v>
      </c>
      <c r="O93" s="3"/>
      <c r="P93" s="3">
        <f>(O93+N93)*0.1</f>
        <v>3.4999999999999996E-2</v>
      </c>
      <c r="Q93" s="4">
        <f t="shared" ref="Q93" si="192">F93*(P93+O93*$O$69+N93)</f>
        <v>1.1549999999999998</v>
      </c>
      <c r="R93" s="4"/>
      <c r="S93">
        <f t="shared" ref="S93" si="193">$T$68*F93</f>
        <v>18</v>
      </c>
      <c r="T93">
        <f t="shared" ref="T93" si="194">A93</f>
        <v>40</v>
      </c>
      <c r="U93" s="90">
        <f t="shared" si="158"/>
        <v>0</v>
      </c>
      <c r="V93" s="29" t="str">
        <f>I93</f>
        <v>Jumpers for RELAY mode</v>
      </c>
      <c r="W93" s="29" t="str">
        <f>H93</f>
        <v>.100 2-pin stick header</v>
      </c>
      <c r="X93" s="29" t="str">
        <f>K93</f>
        <v>DigiKey</v>
      </c>
      <c r="Y93" s="30" t="str">
        <f>G93</f>
        <v>WM4000-ND</v>
      </c>
      <c r="Z93" t="s">
        <v>143</v>
      </c>
    </row>
    <row r="94" spans="1:26" x14ac:dyDescent="0.2">
      <c r="A94" s="152">
        <v>10</v>
      </c>
      <c r="B94" s="150">
        <f t="shared" si="155"/>
        <v>25.299999999999997</v>
      </c>
      <c r="C94" s="8">
        <v>25</v>
      </c>
      <c r="D94" s="29" t="s">
        <v>153</v>
      </c>
      <c r="E94" t="s">
        <v>421</v>
      </c>
      <c r="F94">
        <v>1</v>
      </c>
      <c r="G94" s="30" t="s">
        <v>329</v>
      </c>
      <c r="H94" s="29" t="s">
        <v>279</v>
      </c>
      <c r="I94" s="29" t="s">
        <v>247</v>
      </c>
      <c r="J94" s="29" t="s">
        <v>140</v>
      </c>
      <c r="K94" t="s">
        <v>142</v>
      </c>
      <c r="L94">
        <v>1</v>
      </c>
      <c r="M94" t="s">
        <v>24</v>
      </c>
      <c r="N94" s="3">
        <v>2.2999999999999998</v>
      </c>
      <c r="O94" s="3"/>
      <c r="P94" s="3">
        <f t="shared" si="147"/>
        <v>0.22999999999999998</v>
      </c>
      <c r="Q94" s="4">
        <f t="shared" si="156"/>
        <v>2.5299999999999998</v>
      </c>
      <c r="R94" s="4"/>
      <c r="S94">
        <f t="shared" si="157"/>
        <v>6</v>
      </c>
      <c r="T94">
        <f t="shared" si="148"/>
        <v>10</v>
      </c>
      <c r="U94" s="90">
        <f t="shared" si="158"/>
        <v>0</v>
      </c>
      <c r="V94" s="29" t="str">
        <f t="shared" si="169"/>
        <v>Power cord connector</v>
      </c>
      <c r="W94" s="29" t="str">
        <f t="shared" si="170"/>
        <v>.200 Euroconnector - 5-pin - PCB header</v>
      </c>
      <c r="X94" s="29" t="str">
        <f t="shared" si="171"/>
        <v>DigiKey</v>
      </c>
      <c r="Y94" s="30" t="str">
        <f t="shared" si="172"/>
        <v>277-1065-ND</v>
      </c>
      <c r="Z94" t="s">
        <v>143</v>
      </c>
    </row>
    <row r="95" spans="1:26" x14ac:dyDescent="0.2">
      <c r="A95" s="152">
        <v>5</v>
      </c>
      <c r="B95" s="150">
        <f t="shared" si="155"/>
        <v>41.25</v>
      </c>
      <c r="C95" s="8">
        <v>26</v>
      </c>
      <c r="D95" s="29" t="s">
        <v>153</v>
      </c>
      <c r="E95" t="s">
        <v>421</v>
      </c>
      <c r="F95">
        <v>1</v>
      </c>
      <c r="G95" s="30" t="s">
        <v>280</v>
      </c>
      <c r="H95" s="29" t="s">
        <v>388</v>
      </c>
      <c r="I95" s="29" t="s">
        <v>247</v>
      </c>
      <c r="J95" s="29" t="s">
        <v>140</v>
      </c>
      <c r="K95" t="s">
        <v>142</v>
      </c>
      <c r="L95">
        <v>1</v>
      </c>
      <c r="M95" t="s">
        <v>24</v>
      </c>
      <c r="N95" s="3">
        <v>7.5</v>
      </c>
      <c r="O95" s="3"/>
      <c r="P95" s="3">
        <f t="shared" si="147"/>
        <v>0.75</v>
      </c>
      <c r="Q95" s="4">
        <f t="shared" si="156"/>
        <v>8.25</v>
      </c>
      <c r="R95" s="4"/>
      <c r="S95">
        <f t="shared" si="157"/>
        <v>6</v>
      </c>
      <c r="T95">
        <f t="shared" si="148"/>
        <v>5</v>
      </c>
      <c r="U95" s="90">
        <f t="shared" si="158"/>
        <v>1</v>
      </c>
      <c r="V95" s="29" t="str">
        <f>I95</f>
        <v>Power cord connector</v>
      </c>
      <c r="W95" s="29" t="str">
        <f t="shared" si="170"/>
        <v>.200 Euroconnector - 5-pin - term block PLUG</v>
      </c>
      <c r="X95" s="29" t="str">
        <f>K95</f>
        <v>DigiKey</v>
      </c>
      <c r="Y95" s="30" t="str">
        <f t="shared" si="172"/>
        <v>277-1153-ND</v>
      </c>
      <c r="Z95" t="s">
        <v>143</v>
      </c>
    </row>
    <row r="96" spans="1:26" x14ac:dyDescent="0.2">
      <c r="A96" s="152">
        <v>5</v>
      </c>
      <c r="B96" s="150">
        <f t="shared" si="155"/>
        <v>8.25</v>
      </c>
      <c r="C96" s="8">
        <v>27</v>
      </c>
      <c r="D96" s="29" t="s">
        <v>154</v>
      </c>
      <c r="E96" t="s">
        <v>421</v>
      </c>
      <c r="F96">
        <v>1</v>
      </c>
      <c r="G96" s="30" t="s">
        <v>330</v>
      </c>
      <c r="H96" s="29" t="s">
        <v>281</v>
      </c>
      <c r="I96" s="29" t="s">
        <v>315</v>
      </c>
      <c r="J96" s="29" t="s">
        <v>140</v>
      </c>
      <c r="K96" t="s">
        <v>142</v>
      </c>
      <c r="L96">
        <v>1</v>
      </c>
      <c r="M96" t="s">
        <v>24</v>
      </c>
      <c r="N96" s="3">
        <v>1.5</v>
      </c>
      <c r="O96" s="3"/>
      <c r="P96" s="3">
        <f t="shared" si="147"/>
        <v>0.15000000000000002</v>
      </c>
      <c r="Q96" s="4">
        <f t="shared" si="156"/>
        <v>1.65</v>
      </c>
      <c r="R96" s="4"/>
      <c r="S96">
        <f t="shared" si="157"/>
        <v>6</v>
      </c>
      <c r="T96">
        <f t="shared" si="148"/>
        <v>5</v>
      </c>
      <c r="U96" s="90">
        <f t="shared" si="158"/>
        <v>1</v>
      </c>
      <c r="V96" s="29" t="str">
        <f t="shared" si="169"/>
        <v>Relay drive connector</v>
      </c>
      <c r="W96" s="29" t="str">
        <f t="shared" si="170"/>
        <v>.200 Euroconnector - 2-pin - PCB term block</v>
      </c>
      <c r="X96" s="29" t="str">
        <f t="shared" si="171"/>
        <v>DigiKey</v>
      </c>
      <c r="Y96" s="30" t="str">
        <f t="shared" si="172"/>
        <v>277-1027-ND</v>
      </c>
      <c r="Z96" t="s">
        <v>143</v>
      </c>
    </row>
    <row r="97" spans="1:27" x14ac:dyDescent="0.2">
      <c r="A97" s="152">
        <v>90</v>
      </c>
      <c r="B97" s="150">
        <f t="shared" si="155"/>
        <v>89.09999999999998</v>
      </c>
      <c r="C97" s="8">
        <v>28</v>
      </c>
      <c r="D97" s="29" t="s">
        <v>159</v>
      </c>
      <c r="E97" t="s">
        <v>421</v>
      </c>
      <c r="F97">
        <v>12</v>
      </c>
      <c r="G97" s="106" t="s">
        <v>269</v>
      </c>
      <c r="H97" s="29" t="s">
        <v>270</v>
      </c>
      <c r="I97" s="29" t="s">
        <v>264</v>
      </c>
      <c r="J97" s="29" t="s">
        <v>140</v>
      </c>
      <c r="K97" t="s">
        <v>142</v>
      </c>
      <c r="L97">
        <v>1</v>
      </c>
      <c r="M97" t="s">
        <v>24</v>
      </c>
      <c r="N97" s="3">
        <v>0.9</v>
      </c>
      <c r="O97" s="3"/>
      <c r="P97" s="3">
        <f t="shared" si="147"/>
        <v>9.0000000000000011E-2</v>
      </c>
      <c r="Q97" s="4">
        <f t="shared" si="156"/>
        <v>11.879999999999999</v>
      </c>
      <c r="R97" s="4"/>
      <c r="S97">
        <f t="shared" si="157"/>
        <v>72</v>
      </c>
      <c r="T97">
        <f t="shared" si="148"/>
        <v>90</v>
      </c>
      <c r="U97" s="90">
        <f t="shared" si="158"/>
        <v>0</v>
      </c>
      <c r="V97" s="29" t="str">
        <f t="shared" si="169"/>
        <v>flying lead spade connector for joystick</v>
      </c>
      <c r="W97" s="29" t="str">
        <f t="shared" si="170"/>
        <v>.250 90 degree insulated crimp connector</v>
      </c>
      <c r="X97" s="29" t="str">
        <f t="shared" si="171"/>
        <v>DigiKey</v>
      </c>
      <c r="Y97" s="30" t="str">
        <f t="shared" si="172"/>
        <v>298-10283-ND</v>
      </c>
      <c r="Z97" t="s">
        <v>143</v>
      </c>
      <c r="AA97" s="40"/>
    </row>
    <row r="98" spans="1:27" x14ac:dyDescent="0.2">
      <c r="A98" s="152">
        <v>50</v>
      </c>
      <c r="B98" s="150">
        <f t="shared" si="155"/>
        <v>27.500000000000004</v>
      </c>
      <c r="C98" s="8">
        <v>29</v>
      </c>
      <c r="D98" s="29" t="s">
        <v>358</v>
      </c>
      <c r="E98" t="s">
        <v>421</v>
      </c>
      <c r="F98">
        <v>4</v>
      </c>
      <c r="H98" s="29" t="s">
        <v>355</v>
      </c>
      <c r="I98" s="48" t="s">
        <v>430</v>
      </c>
      <c r="J98" s="29" t="s">
        <v>140</v>
      </c>
      <c r="K98" t="s">
        <v>142</v>
      </c>
      <c r="L98">
        <v>1</v>
      </c>
      <c r="M98" t="s">
        <v>24</v>
      </c>
      <c r="N98" s="3">
        <v>0.5</v>
      </c>
      <c r="O98" s="3"/>
      <c r="P98" s="3">
        <f t="shared" ref="P98" si="195">(O98+N98)*0.1</f>
        <v>0.05</v>
      </c>
      <c r="Q98" s="4">
        <f t="shared" ref="Q98" si="196">F98*(P98+O98*$O$69+N98)</f>
        <v>2.2000000000000002</v>
      </c>
      <c r="R98" s="4"/>
      <c r="S98">
        <f t="shared" ref="S98" si="197">$T$68*F98</f>
        <v>24</v>
      </c>
      <c r="T98">
        <f t="shared" ref="T98" si="198">A98</f>
        <v>50</v>
      </c>
      <c r="U98" s="90">
        <f t="shared" si="158"/>
        <v>0</v>
      </c>
      <c r="V98" s="29" t="str">
        <f t="shared" ref="V98" si="199">I98</f>
        <v>ring connectors for Sabretooth module</v>
      </c>
      <c r="W98" s="29" t="str">
        <f t="shared" ref="W98" si="200">H98</f>
        <v>BLUE #10 ring crimp connector</v>
      </c>
      <c r="X98" s="29" t="str">
        <f t="shared" ref="X98" si="201">K98</f>
        <v>DigiKey</v>
      </c>
      <c r="Y98" s="30">
        <f t="shared" ref="Y98" si="202">G98</f>
        <v>0</v>
      </c>
      <c r="Z98" t="s">
        <v>143</v>
      </c>
      <c r="AA98" s="40"/>
    </row>
    <row r="99" spans="1:27" ht="14.45" customHeight="1" x14ac:dyDescent="0.2">
      <c r="A99" s="152">
        <v>110</v>
      </c>
      <c r="B99" s="150">
        <f t="shared" si="155"/>
        <v>24.200000000000003</v>
      </c>
      <c r="C99" s="8">
        <v>30</v>
      </c>
      <c r="D99" s="29" t="s">
        <v>268</v>
      </c>
      <c r="E99" t="s">
        <v>421</v>
      </c>
      <c r="F99" s="23">
        <v>8</v>
      </c>
      <c r="G99" s="23" t="s">
        <v>160</v>
      </c>
      <c r="H99" s="39" t="s">
        <v>161</v>
      </c>
      <c r="I99" s="29" t="s">
        <v>327</v>
      </c>
      <c r="J99" s="29" t="s">
        <v>140</v>
      </c>
      <c r="K99" t="s">
        <v>142</v>
      </c>
      <c r="L99">
        <v>1</v>
      </c>
      <c r="M99" t="s">
        <v>24</v>
      </c>
      <c r="N99" s="3">
        <v>0.2</v>
      </c>
      <c r="O99" s="3"/>
      <c r="P99" s="3">
        <f t="shared" si="147"/>
        <v>2.0000000000000004E-2</v>
      </c>
      <c r="Q99" s="4">
        <f t="shared" si="156"/>
        <v>1.7600000000000002</v>
      </c>
      <c r="R99" s="4"/>
      <c r="S99">
        <f t="shared" si="157"/>
        <v>48</v>
      </c>
      <c r="T99">
        <f t="shared" si="148"/>
        <v>110</v>
      </c>
      <c r="U99" s="90">
        <f t="shared" si="158"/>
        <v>0</v>
      </c>
      <c r="V99" s="29" t="str">
        <f t="shared" ref="V99:V104" si="203">I99</f>
        <v>MPL switch PCB connector</v>
      </c>
      <c r="W99" s="29" t="str">
        <f t="shared" si="170"/>
        <v>Keystone .187 female spade</v>
      </c>
      <c r="X99" s="29" t="str">
        <f t="shared" ref="X99:X104" si="204">K99</f>
        <v>DigiKey</v>
      </c>
      <c r="Y99" s="30" t="str">
        <f t="shared" si="172"/>
        <v>3548K-ND</v>
      </c>
      <c r="Z99" t="s">
        <v>143</v>
      </c>
      <c r="AA99" s="40"/>
    </row>
    <row r="100" spans="1:27" x14ac:dyDescent="0.2">
      <c r="A100" s="95"/>
      <c r="B100" s="150"/>
      <c r="C100" s="8">
        <v>31</v>
      </c>
      <c r="D100" t="s">
        <v>162</v>
      </c>
      <c r="E100" t="s">
        <v>421</v>
      </c>
      <c r="G100" s="30" t="s">
        <v>163</v>
      </c>
      <c r="H100" s="21" t="s">
        <v>164</v>
      </c>
      <c r="I100" s="29" t="s">
        <v>326</v>
      </c>
      <c r="J100" s="29" t="s">
        <v>140</v>
      </c>
      <c r="K100" t="s">
        <v>166</v>
      </c>
      <c r="L100">
        <v>1</v>
      </c>
      <c r="M100" t="s">
        <v>24</v>
      </c>
      <c r="N100" s="46"/>
      <c r="O100" s="46">
        <v>40</v>
      </c>
      <c r="P100" s="46">
        <f t="shared" si="147"/>
        <v>4</v>
      </c>
      <c r="Q100" s="4">
        <f t="shared" si="156"/>
        <v>0</v>
      </c>
      <c r="R100" s="4"/>
      <c r="S100">
        <f t="shared" si="157"/>
        <v>0</v>
      </c>
      <c r="T100">
        <f t="shared" si="148"/>
        <v>0</v>
      </c>
      <c r="U100" s="90">
        <f t="shared" si="158"/>
        <v>0</v>
      </c>
      <c r="V100" s="29" t="str">
        <f t="shared" si="203"/>
        <v>MPL pnuematic switch</v>
      </c>
      <c r="W100" s="29" t="str">
        <f t="shared" si="170"/>
        <v>MPL-502-range B  micro switch</v>
      </c>
      <c r="X100" s="29" t="str">
        <f t="shared" si="204"/>
        <v>Micro Pnuematic Logic Inc.  1-888-386-4270</v>
      </c>
      <c r="Y100" s="30" t="str">
        <f t="shared" si="172"/>
        <v>X05543</v>
      </c>
      <c r="Z100" s="40" t="s">
        <v>167</v>
      </c>
      <c r="AA100" s="40" t="s">
        <v>168</v>
      </c>
    </row>
    <row r="101" spans="1:27" x14ac:dyDescent="0.2">
      <c r="A101" s="152">
        <v>30</v>
      </c>
      <c r="B101" s="150">
        <f t="shared" si="155"/>
        <v>16.5</v>
      </c>
      <c r="C101" s="8">
        <v>32</v>
      </c>
      <c r="D101" s="29" t="s">
        <v>294</v>
      </c>
      <c r="E101" t="s">
        <v>421</v>
      </c>
      <c r="F101">
        <v>4</v>
      </c>
      <c r="G101" s="30" t="s">
        <v>306</v>
      </c>
      <c r="H101" s="60" t="s">
        <v>300</v>
      </c>
      <c r="I101" s="29" t="s">
        <v>316</v>
      </c>
      <c r="J101" s="29" t="s">
        <v>140</v>
      </c>
      <c r="K101" s="29" t="s">
        <v>298</v>
      </c>
      <c r="L101">
        <v>1</v>
      </c>
      <c r="M101" t="s">
        <v>24</v>
      </c>
      <c r="N101" s="46">
        <v>0.5</v>
      </c>
      <c r="O101" s="46"/>
      <c r="P101" s="46">
        <f t="shared" si="147"/>
        <v>0.05</v>
      </c>
      <c r="Q101" s="4">
        <f t="shared" si="156"/>
        <v>2.2000000000000002</v>
      </c>
      <c r="R101" s="4"/>
      <c r="S101">
        <f t="shared" si="157"/>
        <v>24</v>
      </c>
      <c r="T101">
        <f t="shared" si="148"/>
        <v>30</v>
      </c>
      <c r="U101" s="90">
        <f t="shared" si="158"/>
        <v>0</v>
      </c>
      <c r="V101" s="29" t="str">
        <f t="shared" si="203"/>
        <v>PCB mounting hardware</v>
      </c>
      <c r="W101" s="29" t="str">
        <f t="shared" si="170"/>
        <v>6-32 threaded standoff post - 1"</v>
      </c>
      <c r="X101" s="29" t="str">
        <f t="shared" si="204"/>
        <v>Quayle Electronics</v>
      </c>
      <c r="Y101" s="30" t="str">
        <f t="shared" si="172"/>
        <v>14HTSP010</v>
      </c>
      <c r="Z101" s="40" t="s">
        <v>167</v>
      </c>
      <c r="AA101" s="40" t="s">
        <v>168</v>
      </c>
    </row>
    <row r="102" spans="1:27" x14ac:dyDescent="0.2">
      <c r="A102" s="152">
        <v>30</v>
      </c>
      <c r="B102" s="150">
        <f t="shared" si="155"/>
        <v>4.9499999999999993</v>
      </c>
      <c r="C102" s="8">
        <v>33</v>
      </c>
      <c r="D102" s="29" t="s">
        <v>295</v>
      </c>
      <c r="E102" t="s">
        <v>421</v>
      </c>
      <c r="F102">
        <v>4</v>
      </c>
      <c r="G102" s="30" t="s">
        <v>305</v>
      </c>
      <c r="H102" s="60" t="s">
        <v>301</v>
      </c>
      <c r="I102" s="29" t="s">
        <v>316</v>
      </c>
      <c r="J102" s="29" t="s">
        <v>140</v>
      </c>
      <c r="K102" s="29" t="s">
        <v>298</v>
      </c>
      <c r="L102">
        <v>1</v>
      </c>
      <c r="M102" t="s">
        <v>24</v>
      </c>
      <c r="N102" s="46">
        <v>0.15</v>
      </c>
      <c r="O102" s="46"/>
      <c r="P102" s="46">
        <f t="shared" si="147"/>
        <v>1.4999999999999999E-2</v>
      </c>
      <c r="Q102" s="4">
        <f t="shared" si="156"/>
        <v>0.65999999999999992</v>
      </c>
      <c r="R102" s="4"/>
      <c r="S102">
        <f t="shared" si="157"/>
        <v>24</v>
      </c>
      <c r="T102">
        <f t="shared" si="148"/>
        <v>30</v>
      </c>
      <c r="U102" s="90">
        <f t="shared" si="158"/>
        <v>0</v>
      </c>
      <c r="V102" s="29" t="str">
        <f t="shared" si="203"/>
        <v>PCB mounting hardware</v>
      </c>
      <c r="W102" s="29" t="str">
        <f t="shared" si="170"/>
        <v>6-32 threaded screw - 1 1/2"</v>
      </c>
      <c r="X102" s="29" t="str">
        <f t="shared" si="204"/>
        <v>Quayle Electronics</v>
      </c>
      <c r="Y102" s="30" t="str">
        <f t="shared" si="172"/>
        <v>NYPS-632112</v>
      </c>
      <c r="Z102" s="40" t="s">
        <v>167</v>
      </c>
      <c r="AA102" s="40" t="s">
        <v>168</v>
      </c>
    </row>
    <row r="103" spans="1:27" x14ac:dyDescent="0.2">
      <c r="A103" s="152">
        <v>40</v>
      </c>
      <c r="B103" s="150">
        <f t="shared" si="155"/>
        <v>6.6</v>
      </c>
      <c r="C103" s="8">
        <v>34</v>
      </c>
      <c r="D103" s="29" t="s">
        <v>296</v>
      </c>
      <c r="E103" t="s">
        <v>421</v>
      </c>
      <c r="F103">
        <v>4</v>
      </c>
      <c r="G103" s="30" t="s">
        <v>304</v>
      </c>
      <c r="H103" s="60" t="s">
        <v>303</v>
      </c>
      <c r="I103" s="29" t="s">
        <v>316</v>
      </c>
      <c r="J103" s="29" t="s">
        <v>140</v>
      </c>
      <c r="K103" s="29" t="s">
        <v>298</v>
      </c>
      <c r="L103">
        <v>1</v>
      </c>
      <c r="M103" t="s">
        <v>24</v>
      </c>
      <c r="N103" s="46">
        <v>0.15</v>
      </c>
      <c r="O103" s="46"/>
      <c r="P103" s="46">
        <f t="shared" si="147"/>
        <v>1.4999999999999999E-2</v>
      </c>
      <c r="Q103" s="4">
        <f t="shared" si="156"/>
        <v>0.65999999999999992</v>
      </c>
      <c r="R103" s="4"/>
      <c r="S103">
        <f t="shared" si="157"/>
        <v>24</v>
      </c>
      <c r="T103">
        <f t="shared" si="148"/>
        <v>40</v>
      </c>
      <c r="U103" s="90">
        <f t="shared" si="158"/>
        <v>0</v>
      </c>
      <c r="V103" s="29" t="str">
        <f t="shared" si="203"/>
        <v>PCB mounting hardware</v>
      </c>
      <c r="W103" s="29" t="str">
        <f t="shared" si="170"/>
        <v>6-32 threaded screw - 3/8"</v>
      </c>
      <c r="X103" s="29" t="str">
        <f t="shared" si="204"/>
        <v>Quayle Electronics</v>
      </c>
      <c r="Y103" s="30" t="str">
        <f t="shared" si="172"/>
        <v>NYPS-63238</v>
      </c>
      <c r="Z103" s="40" t="s">
        <v>167</v>
      </c>
      <c r="AA103" s="40" t="s">
        <v>168</v>
      </c>
    </row>
    <row r="104" spans="1:27" x14ac:dyDescent="0.2">
      <c r="A104" s="152">
        <v>40</v>
      </c>
      <c r="B104" s="150">
        <f t="shared" si="155"/>
        <v>6.6</v>
      </c>
      <c r="C104" s="8">
        <v>35</v>
      </c>
      <c r="D104" s="41" t="s">
        <v>297</v>
      </c>
      <c r="E104" t="s">
        <v>421</v>
      </c>
      <c r="F104" s="9">
        <v>4</v>
      </c>
      <c r="G104" s="42" t="s">
        <v>307</v>
      </c>
      <c r="H104" s="61" t="s">
        <v>302</v>
      </c>
      <c r="I104" s="29" t="s">
        <v>316</v>
      </c>
      <c r="J104" s="29" t="s">
        <v>140</v>
      </c>
      <c r="K104" s="41" t="s">
        <v>298</v>
      </c>
      <c r="L104" s="9">
        <v>1</v>
      </c>
      <c r="M104" s="9" t="s">
        <v>24</v>
      </c>
      <c r="N104" s="11">
        <v>0.15</v>
      </c>
      <c r="O104" s="11"/>
      <c r="P104" s="11">
        <f t="shared" si="147"/>
        <v>1.4999999999999999E-2</v>
      </c>
      <c r="Q104" s="4">
        <f t="shared" si="156"/>
        <v>0.65999999999999992</v>
      </c>
      <c r="R104" s="12"/>
      <c r="S104">
        <f t="shared" si="157"/>
        <v>24</v>
      </c>
      <c r="T104">
        <f t="shared" si="148"/>
        <v>40</v>
      </c>
      <c r="U104" s="90">
        <f t="shared" si="158"/>
        <v>0</v>
      </c>
      <c r="V104" s="41" t="str">
        <f t="shared" si="203"/>
        <v>PCB mounting hardware</v>
      </c>
      <c r="W104" s="41" t="str">
        <f t="shared" si="170"/>
        <v>8-32 threaded stand-off post - 1/4"</v>
      </c>
      <c r="X104" s="41" t="str">
        <f t="shared" si="204"/>
        <v>Quayle Electronics</v>
      </c>
      <c r="Y104" s="42" t="str">
        <f t="shared" si="172"/>
        <v>14HTSP011</v>
      </c>
      <c r="Z104" s="43" t="s">
        <v>167</v>
      </c>
      <c r="AA104" s="43" t="s">
        <v>168</v>
      </c>
    </row>
    <row r="105" spans="1:27" x14ac:dyDescent="0.2">
      <c r="A105" s="152"/>
      <c r="B105" s="153"/>
      <c r="E105" t="s">
        <v>421</v>
      </c>
      <c r="F105">
        <v>3</v>
      </c>
      <c r="G105" s="8"/>
      <c r="I105" s="103" t="s">
        <v>158</v>
      </c>
      <c r="L105">
        <v>3</v>
      </c>
      <c r="M105" t="s">
        <v>28</v>
      </c>
      <c r="N105" s="3">
        <v>50</v>
      </c>
      <c r="O105" s="3"/>
      <c r="P105" s="3">
        <v>0</v>
      </c>
      <c r="Q105" s="4">
        <f t="shared" si="156"/>
        <v>150</v>
      </c>
      <c r="R105" s="4"/>
      <c r="Y105" s="8"/>
      <c r="Z105" s="40"/>
      <c r="AA105" s="40"/>
    </row>
    <row r="106" spans="1:27" x14ac:dyDescent="0.2">
      <c r="A106" s="152"/>
      <c r="B106" s="153"/>
      <c r="E106" t="s">
        <v>421</v>
      </c>
      <c r="F106" s="9">
        <v>1</v>
      </c>
      <c r="G106" s="10"/>
      <c r="H106" s="9"/>
      <c r="I106" s="32" t="s">
        <v>43</v>
      </c>
      <c r="J106" s="9"/>
      <c r="K106" s="9"/>
      <c r="L106" s="9"/>
      <c r="M106" s="9" t="s">
        <v>28</v>
      </c>
      <c r="N106" s="11"/>
      <c r="O106" s="11"/>
      <c r="P106" s="11">
        <v>0</v>
      </c>
      <c r="Q106" s="4">
        <f t="shared" si="156"/>
        <v>0</v>
      </c>
      <c r="R106" s="4"/>
      <c r="Y106" s="8"/>
      <c r="Z106" s="40"/>
      <c r="AA106" s="40"/>
    </row>
    <row r="107" spans="1:27" x14ac:dyDescent="0.2">
      <c r="A107" s="152"/>
      <c r="B107" s="153"/>
      <c r="E107" t="s">
        <v>421</v>
      </c>
      <c r="G107" s="8"/>
      <c r="I107" s="35" t="s">
        <v>276</v>
      </c>
      <c r="N107" s="3"/>
      <c r="O107" s="3"/>
      <c r="P107" s="3"/>
      <c r="Q107" s="22">
        <f>SUM(Q71:Q106)</f>
        <v>280.45599999999996</v>
      </c>
      <c r="R107" s="22"/>
      <c r="Y107" s="8"/>
      <c r="Z107" s="40"/>
      <c r="AA107" s="40"/>
    </row>
    <row r="108" spans="1:27" x14ac:dyDescent="0.2">
      <c r="A108" s="152"/>
      <c r="B108" s="153"/>
      <c r="G108" s="8"/>
      <c r="I108" s="35" t="s">
        <v>44</v>
      </c>
      <c r="N108" s="3"/>
      <c r="O108" s="3"/>
      <c r="P108" s="3"/>
      <c r="Q108" s="22">
        <v>0</v>
      </c>
      <c r="R108" s="22"/>
      <c r="Y108" s="8"/>
      <c r="Z108" s="40"/>
      <c r="AA108" s="40"/>
    </row>
    <row r="109" spans="1:27" x14ac:dyDescent="0.2">
      <c r="A109" s="152"/>
      <c r="B109" s="153"/>
      <c r="D109" t="s">
        <v>198</v>
      </c>
      <c r="G109" s="8"/>
      <c r="I109" t="s">
        <v>45</v>
      </c>
      <c r="N109" s="3"/>
      <c r="O109" s="3"/>
      <c r="P109" s="3"/>
      <c r="Q109" s="13">
        <v>300</v>
      </c>
      <c r="R109" s="13"/>
      <c r="Y109" s="8"/>
      <c r="Z109" s="40"/>
      <c r="AA109" s="40"/>
    </row>
    <row r="110" spans="1:27" x14ac:dyDescent="0.2">
      <c r="A110" s="95"/>
      <c r="B110" s="95"/>
      <c r="G110" s="8"/>
      <c r="I110" t="s">
        <v>46</v>
      </c>
      <c r="N110" s="3"/>
      <c r="O110" s="3"/>
      <c r="P110" s="3"/>
      <c r="R110" s="4"/>
      <c r="Y110" s="8"/>
      <c r="Z110" s="40"/>
      <c r="AA110" s="40"/>
    </row>
    <row r="111" spans="1:27" x14ac:dyDescent="0.2">
      <c r="A111" s="95"/>
      <c r="B111" s="95"/>
      <c r="G111" s="8"/>
      <c r="I111" s="35" t="s">
        <v>47</v>
      </c>
      <c r="N111" s="3"/>
      <c r="O111" s="3"/>
      <c r="P111" s="3"/>
      <c r="Q111" s="22">
        <f>Q109*F110</f>
        <v>0</v>
      </c>
      <c r="R111" s="4"/>
      <c r="Y111" s="8"/>
      <c r="Z111" s="40"/>
      <c r="AA111" s="40"/>
    </row>
    <row r="112" spans="1:27" x14ac:dyDescent="0.2">
      <c r="A112" s="95"/>
      <c r="B112" s="95"/>
      <c r="G112" s="8"/>
      <c r="I112" s="35"/>
      <c r="N112" s="3"/>
      <c r="O112" s="3"/>
      <c r="P112" s="3"/>
      <c r="Q112" s="45"/>
      <c r="R112" s="22"/>
      <c r="Y112" s="8"/>
      <c r="Z112" s="40"/>
      <c r="AA112" s="40"/>
    </row>
    <row r="113" spans="1:27" x14ac:dyDescent="0.2">
      <c r="A113" s="95"/>
      <c r="B113" s="95"/>
      <c r="G113" s="8"/>
      <c r="Y113" s="8"/>
      <c r="Z113" s="40"/>
      <c r="AA113" s="40"/>
    </row>
    <row r="114" spans="1:27" x14ac:dyDescent="0.2">
      <c r="A114" s="95"/>
      <c r="B114" s="95"/>
      <c r="G114" s="8"/>
      <c r="Y114" s="8"/>
      <c r="Z114" s="40"/>
      <c r="AA114" s="40"/>
    </row>
    <row r="115" spans="1:27" x14ac:dyDescent="0.2">
      <c r="A115" s="95"/>
      <c r="B115" s="95"/>
      <c r="G115" s="8"/>
      <c r="I115" s="35"/>
      <c r="N115" s="3"/>
      <c r="O115" s="3"/>
      <c r="P115" s="3"/>
      <c r="Q115" s="45"/>
      <c r="R115" s="22"/>
      <c r="Y115" s="8"/>
      <c r="Z115" s="40"/>
      <c r="AA115" s="40"/>
    </row>
    <row r="116" spans="1:27" x14ac:dyDescent="0.2">
      <c r="A116" s="95"/>
      <c r="B116" s="95"/>
      <c r="G116" s="8"/>
      <c r="Y116" s="8"/>
      <c r="Z116" s="40"/>
      <c r="AA116" s="40"/>
    </row>
    <row r="117" spans="1:27" x14ac:dyDescent="0.2">
      <c r="A117" s="95"/>
      <c r="B117" s="95"/>
      <c r="G117" s="8"/>
      <c r="Y117" s="8"/>
      <c r="Z117" s="40"/>
      <c r="AA117" s="40"/>
    </row>
    <row r="118" spans="1:27" x14ac:dyDescent="0.2">
      <c r="A118" s="154"/>
      <c r="B118" s="154"/>
    </row>
    <row r="119" spans="1:27" x14ac:dyDescent="0.2">
      <c r="A119" s="152"/>
      <c r="B119" s="153"/>
    </row>
    <row r="120" spans="1:27" x14ac:dyDescent="0.2">
      <c r="A120" s="152"/>
      <c r="B120" s="153"/>
    </row>
    <row r="121" spans="1:27" ht="20.25" x14ac:dyDescent="0.3">
      <c r="A121" s="152"/>
      <c r="B121" s="153"/>
      <c r="D121" s="1" t="s">
        <v>717</v>
      </c>
      <c r="E121" s="26"/>
      <c r="G121" s="8"/>
      <c r="H121" s="15"/>
      <c r="O121" s="92" t="s">
        <v>2</v>
      </c>
      <c r="S121" s="32" t="s">
        <v>3</v>
      </c>
      <c r="T121" s="9">
        <f>T68</f>
        <v>6</v>
      </c>
      <c r="Y121" s="8"/>
      <c r="Z121" s="8"/>
      <c r="AA121" s="8"/>
    </row>
    <row r="122" spans="1:27" x14ac:dyDescent="0.2">
      <c r="A122" s="152"/>
      <c r="B122" s="95"/>
      <c r="G122" s="8"/>
      <c r="O122" s="92">
        <f>O69</f>
        <v>1.3</v>
      </c>
      <c r="Y122" s="8"/>
      <c r="Z122" s="8"/>
      <c r="AA122" s="8"/>
    </row>
    <row r="123" spans="1:27" ht="15.75" x14ac:dyDescent="0.25">
      <c r="A123" s="152"/>
      <c r="B123" s="149">
        <f>SUM(B124:B131)</f>
        <v>55</v>
      </c>
      <c r="D123" s="32" t="s">
        <v>139</v>
      </c>
      <c r="E123" s="32" t="s">
        <v>5</v>
      </c>
      <c r="F123" s="32" t="s">
        <v>16</v>
      </c>
      <c r="G123" s="34" t="s">
        <v>10</v>
      </c>
      <c r="H123" s="32" t="s">
        <v>7</v>
      </c>
      <c r="I123" s="32" t="s">
        <v>6</v>
      </c>
      <c r="J123" s="32" t="s">
        <v>8</v>
      </c>
      <c r="K123" s="32" t="s">
        <v>9</v>
      </c>
      <c r="L123" s="32" t="s">
        <v>11</v>
      </c>
      <c r="M123" s="32" t="s">
        <v>12</v>
      </c>
      <c r="N123" s="32" t="s">
        <v>13</v>
      </c>
      <c r="O123" s="32" t="s">
        <v>14</v>
      </c>
      <c r="P123" s="32" t="s">
        <v>15</v>
      </c>
      <c r="Q123" s="32" t="s">
        <v>17</v>
      </c>
      <c r="R123" s="32"/>
      <c r="S123" s="35" t="s">
        <v>18</v>
      </c>
      <c r="T123" s="35" t="s">
        <v>19</v>
      </c>
      <c r="U123" s="35" t="s">
        <v>20</v>
      </c>
      <c r="V123" s="35" t="str">
        <f t="shared" ref="V123:V131" si="205">I123</f>
        <v>Name</v>
      </c>
      <c r="W123" s="35" t="str">
        <f t="shared" ref="W123:W131" si="206">H123</f>
        <v>Description</v>
      </c>
      <c r="X123" s="35" t="str">
        <f t="shared" ref="X123:X131" si="207">K123</f>
        <v>Vendor</v>
      </c>
      <c r="Y123" s="33" t="str">
        <f t="shared" ref="Y123:Y131" si="208">G123</f>
        <v>Vendor Part #</v>
      </c>
      <c r="Z123" s="33" t="s">
        <v>328</v>
      </c>
      <c r="AA123" s="33" t="s">
        <v>132</v>
      </c>
    </row>
    <row r="124" spans="1:27" x14ac:dyDescent="0.2">
      <c r="A124" s="152"/>
      <c r="B124" s="150">
        <f t="shared" ref="B124:B131" si="209">A124*Q124/F124</f>
        <v>0</v>
      </c>
      <c r="C124" s="8">
        <v>1</v>
      </c>
      <c r="D124" t="s">
        <v>173</v>
      </c>
      <c r="E124" t="s">
        <v>422</v>
      </c>
      <c r="F124">
        <v>1</v>
      </c>
      <c r="G124" s="30"/>
      <c r="H124" t="s">
        <v>170</v>
      </c>
      <c r="I124" t="s">
        <v>140</v>
      </c>
      <c r="J124" t="s">
        <v>177</v>
      </c>
      <c r="K124" s="48" t="s">
        <v>787</v>
      </c>
      <c r="L124">
        <v>3</v>
      </c>
      <c r="M124" t="s">
        <v>24</v>
      </c>
      <c r="N124" s="3">
        <v>10</v>
      </c>
      <c r="O124" s="3"/>
      <c r="P124" s="3">
        <f t="shared" ref="P124:P131" si="210">(O124+N124)*0.1</f>
        <v>1</v>
      </c>
      <c r="Q124" s="4">
        <f t="shared" ref="Q124:Q133" si="211">F124*(P124+O124*$O$69+N124)</f>
        <v>11</v>
      </c>
      <c r="R124" s="4"/>
      <c r="S124">
        <f t="shared" ref="S124:S131" si="212">$T$68*F124</f>
        <v>6</v>
      </c>
      <c r="T124">
        <f>A124</f>
        <v>0</v>
      </c>
      <c r="U124" s="90">
        <f t="shared" ref="U124:U131" si="213">IF(S124-T124&gt;0, S124-T124, 0)</f>
        <v>6</v>
      </c>
      <c r="V124" s="29" t="str">
        <f t="shared" si="205"/>
        <v>PCB</v>
      </c>
      <c r="W124" s="29" t="str">
        <f t="shared" si="206"/>
        <v>2.5" x 2.5" single sided PCB</v>
      </c>
      <c r="X124" s="29" t="str">
        <f t="shared" si="207"/>
        <v>JCL PCB</v>
      </c>
      <c r="Y124" s="30">
        <f t="shared" si="208"/>
        <v>0</v>
      </c>
      <c r="Z124" t="s">
        <v>141</v>
      </c>
      <c r="AA124" s="8"/>
    </row>
    <row r="125" spans="1:27" x14ac:dyDescent="0.2">
      <c r="A125" s="152"/>
      <c r="B125" s="150">
        <f t="shared" si="209"/>
        <v>0</v>
      </c>
      <c r="C125" s="8">
        <v>2</v>
      </c>
      <c r="D125" s="29" t="s">
        <v>151</v>
      </c>
      <c r="E125" t="s">
        <v>422</v>
      </c>
      <c r="F125">
        <v>1</v>
      </c>
      <c r="G125" s="214" t="s">
        <v>786</v>
      </c>
      <c r="H125" t="s">
        <v>785</v>
      </c>
      <c r="I125" t="s">
        <v>152</v>
      </c>
      <c r="J125" t="s">
        <v>177</v>
      </c>
      <c r="K125" s="48" t="s">
        <v>482</v>
      </c>
      <c r="L125">
        <v>3</v>
      </c>
      <c r="M125" t="s">
        <v>24</v>
      </c>
      <c r="N125" s="3">
        <v>18</v>
      </c>
      <c r="O125" s="3"/>
      <c r="P125" s="3">
        <f t="shared" si="210"/>
        <v>1.8</v>
      </c>
      <c r="Q125" s="4">
        <f t="shared" si="211"/>
        <v>19.8</v>
      </c>
      <c r="R125" s="4"/>
      <c r="S125">
        <f t="shared" si="212"/>
        <v>6</v>
      </c>
      <c r="T125">
        <f t="shared" ref="T125:T131" si="214">A125</f>
        <v>0</v>
      </c>
      <c r="U125" s="90">
        <f t="shared" si="213"/>
        <v>6</v>
      </c>
      <c r="V125" s="29" t="str">
        <f t="shared" si="205"/>
        <v>aux Motor relays</v>
      </c>
      <c r="W125" s="29" t="str">
        <f t="shared" si="206"/>
        <v>12V DPDT reversing relay (25A)</v>
      </c>
      <c r="X125" s="29" t="str">
        <f t="shared" si="207"/>
        <v>Digikey</v>
      </c>
      <c r="Y125" s="30" t="str">
        <f t="shared" si="208"/>
        <v>41-V23086C2001A403-ND</v>
      </c>
    </row>
    <row r="126" spans="1:27" x14ac:dyDescent="0.2">
      <c r="A126" s="152"/>
      <c r="B126" s="150">
        <f t="shared" si="209"/>
        <v>0</v>
      </c>
      <c r="C126" s="8">
        <v>3</v>
      </c>
      <c r="D126" s="29" t="s">
        <v>144</v>
      </c>
      <c r="E126" t="s">
        <v>422</v>
      </c>
      <c r="F126">
        <v>1</v>
      </c>
      <c r="G126" s="25" t="s">
        <v>214</v>
      </c>
      <c r="H126" s="38" t="s">
        <v>190</v>
      </c>
      <c r="I126" t="s">
        <v>147</v>
      </c>
      <c r="J126" t="s">
        <v>177</v>
      </c>
      <c r="K126" t="s">
        <v>142</v>
      </c>
      <c r="L126">
        <v>1</v>
      </c>
      <c r="M126" t="s">
        <v>24</v>
      </c>
      <c r="N126" s="3">
        <v>2.0099999999999998</v>
      </c>
      <c r="O126" s="3"/>
      <c r="P126" s="3">
        <f t="shared" si="210"/>
        <v>0.20099999999999998</v>
      </c>
      <c r="Q126" s="4">
        <f t="shared" si="211"/>
        <v>2.2109999999999999</v>
      </c>
      <c r="R126" s="4"/>
      <c r="S126">
        <f t="shared" si="212"/>
        <v>6</v>
      </c>
      <c r="T126">
        <f t="shared" si="214"/>
        <v>0</v>
      </c>
      <c r="U126" s="90">
        <f t="shared" si="213"/>
        <v>6</v>
      </c>
      <c r="V126" s="29" t="str">
        <f t="shared" si="205"/>
        <v>relay diodes</v>
      </c>
      <c r="W126" s="29" t="str">
        <f t="shared" si="206"/>
        <v>Zener diode – 20V 500W bi-directional</v>
      </c>
      <c r="X126" s="29" t="str">
        <f t="shared" si="207"/>
        <v>DigiKey</v>
      </c>
      <c r="Y126" s="30" t="str">
        <f t="shared" si="208"/>
        <v>SA20CADICT-ND</v>
      </c>
      <c r="Z126" t="s">
        <v>143</v>
      </c>
    </row>
    <row r="127" spans="1:27" x14ac:dyDescent="0.2">
      <c r="A127" s="152"/>
      <c r="B127" s="150">
        <f t="shared" si="209"/>
        <v>0</v>
      </c>
      <c r="C127" s="8">
        <v>4</v>
      </c>
      <c r="D127" s="29" t="s">
        <v>172</v>
      </c>
      <c r="E127" t="s">
        <v>422</v>
      </c>
      <c r="F127">
        <v>1</v>
      </c>
      <c r="G127" s="8" t="s">
        <v>387</v>
      </c>
      <c r="H127" t="s">
        <v>384</v>
      </c>
      <c r="I127" s="48" t="s">
        <v>486</v>
      </c>
      <c r="J127" t="s">
        <v>177</v>
      </c>
      <c r="K127" t="s">
        <v>142</v>
      </c>
      <c r="L127">
        <v>1</v>
      </c>
      <c r="M127" t="s">
        <v>24</v>
      </c>
      <c r="N127" s="3">
        <v>2.5</v>
      </c>
      <c r="O127" s="3"/>
      <c r="P127" s="3">
        <f t="shared" si="210"/>
        <v>0.25</v>
      </c>
      <c r="Q127" s="4">
        <f t="shared" si="211"/>
        <v>2.75</v>
      </c>
      <c r="R127" s="4"/>
      <c r="S127">
        <f t="shared" si="212"/>
        <v>6</v>
      </c>
      <c r="T127">
        <f t="shared" si="214"/>
        <v>0</v>
      </c>
      <c r="U127" s="90">
        <f t="shared" si="213"/>
        <v>6</v>
      </c>
      <c r="V127" s="29" t="str">
        <f t="shared" si="205"/>
        <v>indicator LED</v>
      </c>
      <c r="W127" s="29" t="str">
        <f t="shared" si="206"/>
        <v>high brightness RED LED (30mA) pg 583</v>
      </c>
      <c r="X127" s="29" t="str">
        <f t="shared" si="207"/>
        <v>DigiKey</v>
      </c>
      <c r="Y127" s="30" t="str">
        <f t="shared" si="208"/>
        <v>XLM2MR12W</v>
      </c>
      <c r="Z127" t="s">
        <v>143</v>
      </c>
    </row>
    <row r="128" spans="1:27" x14ac:dyDescent="0.2">
      <c r="A128" s="152"/>
      <c r="B128" s="150">
        <f t="shared" si="209"/>
        <v>0</v>
      </c>
      <c r="C128" s="8">
        <v>5</v>
      </c>
      <c r="D128" s="29" t="s">
        <v>171</v>
      </c>
      <c r="E128" t="s">
        <v>422</v>
      </c>
      <c r="F128">
        <v>1</v>
      </c>
      <c r="G128" s="30" t="s">
        <v>155</v>
      </c>
      <c r="H128" s="29" t="s">
        <v>156</v>
      </c>
      <c r="I128" s="29" t="s">
        <v>314</v>
      </c>
      <c r="J128" t="s">
        <v>177</v>
      </c>
      <c r="K128" t="s">
        <v>142</v>
      </c>
      <c r="L128">
        <v>1</v>
      </c>
      <c r="M128" t="s">
        <v>24</v>
      </c>
      <c r="N128" s="3">
        <v>0.1</v>
      </c>
      <c r="O128" s="3"/>
      <c r="P128" s="3">
        <f t="shared" si="210"/>
        <v>1.0000000000000002E-2</v>
      </c>
      <c r="Q128" s="4">
        <f t="shared" si="211"/>
        <v>0.11000000000000001</v>
      </c>
      <c r="R128" s="4"/>
      <c r="S128">
        <f t="shared" si="212"/>
        <v>6</v>
      </c>
      <c r="T128">
        <f t="shared" si="214"/>
        <v>0</v>
      </c>
      <c r="U128" s="90">
        <f t="shared" si="213"/>
        <v>6</v>
      </c>
      <c r="V128" s="29" t="str">
        <f t="shared" si="205"/>
        <v>LED resistor</v>
      </c>
      <c r="W128" s="29" t="str">
        <f t="shared" si="206"/>
        <v>1K - 1% 1/8 W resistor</v>
      </c>
      <c r="X128" s="29" t="str">
        <f t="shared" si="207"/>
        <v>DigiKey</v>
      </c>
      <c r="Y128" s="30" t="str">
        <f t="shared" si="208"/>
        <v>1KEBK-ND</v>
      </c>
      <c r="Z128" t="s">
        <v>143</v>
      </c>
    </row>
    <row r="129" spans="1:27" x14ac:dyDescent="0.2">
      <c r="A129" s="152"/>
      <c r="B129" s="150">
        <f t="shared" si="209"/>
        <v>0</v>
      </c>
      <c r="C129" s="8">
        <v>6</v>
      </c>
      <c r="D129" t="s">
        <v>169</v>
      </c>
      <c r="E129" t="s">
        <v>422</v>
      </c>
      <c r="F129">
        <v>1</v>
      </c>
      <c r="G129" s="8" t="s">
        <v>148</v>
      </c>
      <c r="H129" t="s">
        <v>149</v>
      </c>
      <c r="I129" t="s">
        <v>150</v>
      </c>
      <c r="J129" t="s">
        <v>177</v>
      </c>
      <c r="K129" t="s">
        <v>142</v>
      </c>
      <c r="L129">
        <v>1</v>
      </c>
      <c r="M129" t="s">
        <v>24</v>
      </c>
      <c r="N129" s="3">
        <v>1.2</v>
      </c>
      <c r="O129" s="3"/>
      <c r="P129" s="3">
        <f t="shared" si="210"/>
        <v>0.12</v>
      </c>
      <c r="Q129" s="4">
        <f t="shared" si="211"/>
        <v>1.3199999999999998</v>
      </c>
      <c r="R129" s="4"/>
      <c r="S129">
        <f t="shared" si="212"/>
        <v>6</v>
      </c>
      <c r="T129">
        <f t="shared" si="214"/>
        <v>0</v>
      </c>
      <c r="U129" s="90">
        <f t="shared" si="213"/>
        <v>6</v>
      </c>
      <c r="V129" s="29" t="str">
        <f t="shared" si="205"/>
        <v>motor drive suppressor cap</v>
      </c>
      <c r="W129" s="29" t="str">
        <f t="shared" si="206"/>
        <v>0.1 microfarad polypropelene cap (64V)</v>
      </c>
      <c r="X129" s="29" t="str">
        <f t="shared" si="207"/>
        <v>DigiKey</v>
      </c>
      <c r="Y129" s="30" t="str">
        <f t="shared" si="208"/>
        <v>P3104-ND</v>
      </c>
      <c r="Z129" t="s">
        <v>143</v>
      </c>
      <c r="AA129" s="40"/>
    </row>
    <row r="130" spans="1:27" x14ac:dyDescent="0.2">
      <c r="A130" s="152">
        <v>50</v>
      </c>
      <c r="B130" s="150">
        <f t="shared" si="209"/>
        <v>27.5</v>
      </c>
      <c r="C130" s="8">
        <v>7</v>
      </c>
      <c r="D130" t="s">
        <v>174</v>
      </c>
      <c r="E130" t="s">
        <v>422</v>
      </c>
      <c r="F130">
        <v>6</v>
      </c>
      <c r="G130" s="40" t="s">
        <v>179</v>
      </c>
      <c r="H130" t="s">
        <v>176</v>
      </c>
      <c r="I130" t="s">
        <v>178</v>
      </c>
      <c r="J130" t="s">
        <v>177</v>
      </c>
      <c r="K130" t="s">
        <v>142</v>
      </c>
      <c r="L130">
        <v>1</v>
      </c>
      <c r="M130" t="s">
        <v>24</v>
      </c>
      <c r="N130" s="3">
        <v>0.5</v>
      </c>
      <c r="O130" s="3"/>
      <c r="P130" s="3">
        <f t="shared" si="210"/>
        <v>0.05</v>
      </c>
      <c r="Q130" s="4">
        <f t="shared" si="211"/>
        <v>3.3000000000000003</v>
      </c>
      <c r="R130" s="4"/>
      <c r="S130">
        <f t="shared" si="212"/>
        <v>36</v>
      </c>
      <c r="T130">
        <f t="shared" si="214"/>
        <v>50</v>
      </c>
      <c r="U130" s="90">
        <f t="shared" si="213"/>
        <v>0</v>
      </c>
      <c r="V130" s="29" t="str">
        <f t="shared" si="205"/>
        <v>PCB spade connector for motor and switch</v>
      </c>
      <c r="W130" s="29" t="str">
        <f t="shared" si="206"/>
        <v>.250 female solder spade</v>
      </c>
      <c r="X130" s="29" t="str">
        <f t="shared" si="207"/>
        <v>DigiKey</v>
      </c>
      <c r="Y130" s="30" t="str">
        <f t="shared" si="208"/>
        <v>3528K-ND</v>
      </c>
      <c r="Z130" t="s">
        <v>143</v>
      </c>
      <c r="AA130" s="40"/>
    </row>
    <row r="131" spans="1:27" x14ac:dyDescent="0.2">
      <c r="A131" s="152">
        <v>50</v>
      </c>
      <c r="B131" s="150">
        <f t="shared" si="209"/>
        <v>27.500000000000004</v>
      </c>
      <c r="C131" s="8">
        <v>8</v>
      </c>
      <c r="D131" s="48" t="s">
        <v>487</v>
      </c>
      <c r="E131" t="s">
        <v>422</v>
      </c>
      <c r="F131">
        <v>7</v>
      </c>
      <c r="G131" s="40" t="s">
        <v>488</v>
      </c>
      <c r="H131" t="s">
        <v>215</v>
      </c>
      <c r="I131" t="s">
        <v>175</v>
      </c>
      <c r="J131" t="s">
        <v>177</v>
      </c>
      <c r="K131" t="s">
        <v>142</v>
      </c>
      <c r="L131">
        <v>1</v>
      </c>
      <c r="M131" t="s">
        <v>24</v>
      </c>
      <c r="N131" s="3">
        <v>0.5</v>
      </c>
      <c r="O131" s="3"/>
      <c r="P131" s="3">
        <f t="shared" si="210"/>
        <v>0.05</v>
      </c>
      <c r="Q131" s="4">
        <f t="shared" si="211"/>
        <v>3.8500000000000005</v>
      </c>
      <c r="R131" s="4"/>
      <c r="S131">
        <f t="shared" si="212"/>
        <v>42</v>
      </c>
      <c r="T131">
        <f t="shared" si="214"/>
        <v>50</v>
      </c>
      <c r="U131" s="90">
        <f t="shared" si="213"/>
        <v>0</v>
      </c>
      <c r="V131" s="29" t="str">
        <f t="shared" si="205"/>
        <v>PCB spade connector for cable</v>
      </c>
      <c r="W131" s="29" t="str">
        <f t="shared" si="206"/>
        <v>.250 male solder spade</v>
      </c>
      <c r="X131" s="29" t="str">
        <f t="shared" si="207"/>
        <v>DigiKey</v>
      </c>
      <c r="Y131" s="30" t="str">
        <f t="shared" si="208"/>
        <v>4901K-ND</v>
      </c>
      <c r="Z131" t="s">
        <v>143</v>
      </c>
      <c r="AA131" s="40"/>
    </row>
    <row r="132" spans="1:27" x14ac:dyDescent="0.2">
      <c r="A132" s="152"/>
      <c r="B132" s="153"/>
      <c r="E132" t="s">
        <v>422</v>
      </c>
      <c r="F132">
        <v>1</v>
      </c>
      <c r="G132" s="8"/>
      <c r="I132" s="35" t="s">
        <v>158</v>
      </c>
      <c r="M132" t="s">
        <v>28</v>
      </c>
      <c r="N132" s="3"/>
      <c r="O132" s="3"/>
      <c r="P132" s="3">
        <v>0</v>
      </c>
      <c r="Q132" s="4">
        <f t="shared" si="211"/>
        <v>0</v>
      </c>
      <c r="R132" s="4"/>
      <c r="Y132" s="8"/>
      <c r="Z132" s="40"/>
      <c r="AA132" s="40"/>
    </row>
    <row r="133" spans="1:27" x14ac:dyDescent="0.2">
      <c r="A133" s="152"/>
      <c r="B133" s="153"/>
      <c r="E133" t="s">
        <v>422</v>
      </c>
      <c r="F133" s="9">
        <v>1</v>
      </c>
      <c r="G133" s="10"/>
      <c r="H133" s="9"/>
      <c r="I133" s="32" t="s">
        <v>43</v>
      </c>
      <c r="J133" s="9"/>
      <c r="K133" s="9"/>
      <c r="L133" s="9"/>
      <c r="M133" s="9" t="s">
        <v>28</v>
      </c>
      <c r="N133" s="11"/>
      <c r="O133" s="11"/>
      <c r="P133" s="11">
        <v>0</v>
      </c>
      <c r="Q133" s="12">
        <f t="shared" si="211"/>
        <v>0</v>
      </c>
      <c r="R133" s="4"/>
      <c r="Y133" s="8"/>
      <c r="Z133" s="40"/>
      <c r="AA133" s="40"/>
    </row>
    <row r="134" spans="1:27" x14ac:dyDescent="0.2">
      <c r="A134" s="152"/>
      <c r="B134" s="153"/>
      <c r="E134" t="s">
        <v>422</v>
      </c>
      <c r="G134" s="8"/>
      <c r="I134" s="35" t="s">
        <v>180</v>
      </c>
      <c r="N134" s="3"/>
      <c r="O134" s="3"/>
      <c r="P134" s="3"/>
      <c r="Q134" s="22">
        <f>SUM(Q124:Q133)</f>
        <v>44.341000000000001</v>
      </c>
      <c r="R134" s="22"/>
      <c r="Y134" s="8"/>
      <c r="Z134" s="40"/>
      <c r="AA134" s="40"/>
    </row>
    <row r="135" spans="1:27" x14ac:dyDescent="0.2">
      <c r="A135" s="29"/>
      <c r="B135" s="102"/>
      <c r="G135" s="8"/>
      <c r="I135" s="35" t="s">
        <v>44</v>
      </c>
      <c r="N135" s="3"/>
      <c r="O135" s="3"/>
      <c r="P135" s="3"/>
      <c r="Q135" s="22">
        <v>0</v>
      </c>
      <c r="R135" s="22"/>
      <c r="Y135" s="8"/>
      <c r="Z135" s="40"/>
      <c r="AA135" s="40"/>
    </row>
    <row r="136" spans="1:27" x14ac:dyDescent="0.2">
      <c r="A136" s="29"/>
      <c r="B136" s="102"/>
      <c r="D136" t="s">
        <v>198</v>
      </c>
      <c r="G136" s="8"/>
      <c r="I136" t="s">
        <v>45</v>
      </c>
      <c r="N136" s="3"/>
      <c r="O136" s="3"/>
      <c r="P136" s="3"/>
      <c r="Q136" s="13">
        <v>85</v>
      </c>
      <c r="R136" s="13"/>
      <c r="Y136" s="8"/>
      <c r="Z136" s="40"/>
      <c r="AA136" s="40"/>
    </row>
    <row r="137" spans="1:27" x14ac:dyDescent="0.2">
      <c r="A137" s="29"/>
      <c r="B137" s="102"/>
      <c r="F137">
        <v>5</v>
      </c>
      <c r="G137" s="8"/>
      <c r="I137" t="s">
        <v>46</v>
      </c>
      <c r="N137" s="3"/>
      <c r="O137" s="3"/>
      <c r="P137" s="3"/>
      <c r="R137" s="4"/>
      <c r="Y137" s="8"/>
      <c r="Z137" s="40"/>
      <c r="AA137" s="40"/>
    </row>
    <row r="138" spans="1:27" x14ac:dyDescent="0.2">
      <c r="A138" s="29"/>
      <c r="B138" s="102"/>
      <c r="G138" s="8"/>
      <c r="I138" s="35" t="s">
        <v>47</v>
      </c>
      <c r="N138" s="3"/>
      <c r="O138" s="3"/>
      <c r="P138" s="3"/>
      <c r="Q138" s="22">
        <f>Q136*F137</f>
        <v>425</v>
      </c>
      <c r="R138" s="4"/>
      <c r="Y138" s="8"/>
      <c r="Z138" s="40"/>
      <c r="AA138" s="40"/>
    </row>
    <row r="139" spans="1:27" x14ac:dyDescent="0.2">
      <c r="A139" s="29"/>
      <c r="B139" s="102"/>
      <c r="G139" s="8"/>
      <c r="I139" s="35"/>
      <c r="N139" s="3"/>
      <c r="O139" s="3"/>
      <c r="P139" s="3"/>
      <c r="Q139" s="45"/>
      <c r="R139" s="22"/>
      <c r="Y139" s="8"/>
      <c r="Z139" s="40"/>
      <c r="AA139" s="40"/>
    </row>
    <row r="140" spans="1:27" x14ac:dyDescent="0.2">
      <c r="A140" s="29"/>
      <c r="B140" s="102"/>
      <c r="G140" s="8"/>
      <c r="Y140" s="8"/>
      <c r="Z140" s="40"/>
      <c r="AA140" s="40"/>
    </row>
    <row r="141" spans="1:27" x14ac:dyDescent="0.2">
      <c r="A141" s="29"/>
      <c r="B141" s="102"/>
    </row>
    <row r="142" spans="1:27" ht="20.25" x14ac:dyDescent="0.3">
      <c r="A142" s="97"/>
      <c r="B142" s="98"/>
      <c r="D142" s="1" t="s">
        <v>583</v>
      </c>
      <c r="E142" s="26"/>
      <c r="G142" s="8"/>
      <c r="H142" s="15"/>
      <c r="O142" s="92" t="s">
        <v>2</v>
      </c>
      <c r="S142" s="32" t="s">
        <v>3</v>
      </c>
      <c r="T142" s="70"/>
      <c r="Y142" s="8"/>
      <c r="Z142" s="8"/>
      <c r="AA142" s="8"/>
    </row>
    <row r="143" spans="1:27" x14ac:dyDescent="0.2">
      <c r="A143" s="141"/>
      <c r="B143" s="142"/>
      <c r="G143" s="8"/>
      <c r="O143" s="92">
        <f>O69</f>
        <v>1.3</v>
      </c>
      <c r="Y143" s="8"/>
      <c r="Z143" s="8"/>
      <c r="AA143" s="8"/>
    </row>
    <row r="144" spans="1:27" ht="15.75" x14ac:dyDescent="0.25">
      <c r="A144" s="148"/>
      <c r="B144" s="149"/>
      <c r="D144" s="32" t="s">
        <v>139</v>
      </c>
      <c r="E144" s="32" t="s">
        <v>5</v>
      </c>
      <c r="F144" s="32" t="s">
        <v>16</v>
      </c>
      <c r="G144" s="34" t="s">
        <v>10</v>
      </c>
      <c r="H144" s="32" t="s">
        <v>7</v>
      </c>
      <c r="I144" s="32" t="s">
        <v>6</v>
      </c>
      <c r="J144" s="32" t="s">
        <v>8</v>
      </c>
      <c r="K144" s="32" t="s">
        <v>9</v>
      </c>
      <c r="L144" s="32" t="s">
        <v>11</v>
      </c>
      <c r="M144" s="32" t="s">
        <v>12</v>
      </c>
      <c r="N144" s="32" t="s">
        <v>13</v>
      </c>
      <c r="O144" s="32" t="s">
        <v>14</v>
      </c>
      <c r="P144" s="32" t="s">
        <v>15</v>
      </c>
      <c r="Q144" s="32" t="s">
        <v>17</v>
      </c>
      <c r="R144" s="32"/>
      <c r="S144" s="35" t="s">
        <v>18</v>
      </c>
      <c r="T144" s="35" t="s">
        <v>19</v>
      </c>
      <c r="U144" s="35" t="s">
        <v>20</v>
      </c>
      <c r="V144" s="35" t="str">
        <f t="shared" ref="V144:V152" si="215">I144</f>
        <v>Name</v>
      </c>
      <c r="W144" s="35" t="str">
        <f t="shared" ref="W144:W152" si="216">H144</f>
        <v>Description</v>
      </c>
      <c r="X144" s="35" t="str">
        <f t="shared" ref="X144:X152" si="217">K144</f>
        <v>Vendor</v>
      </c>
      <c r="Y144" s="33" t="str">
        <f t="shared" ref="Y144:Y152" si="218">G144</f>
        <v>Vendor Part #</v>
      </c>
      <c r="Z144" s="121" t="s">
        <v>438</v>
      </c>
      <c r="AA144" s="33"/>
    </row>
    <row r="145" spans="1:27" x14ac:dyDescent="0.2">
      <c r="A145" s="95">
        <v>10</v>
      </c>
      <c r="B145" s="150">
        <f>A145*Q145/F145</f>
        <v>70</v>
      </c>
      <c r="C145" s="40">
        <v>1</v>
      </c>
      <c r="D145" s="48" t="s">
        <v>524</v>
      </c>
      <c r="E145" t="s">
        <v>523</v>
      </c>
      <c r="F145">
        <v>1</v>
      </c>
      <c r="G145" s="40" t="s">
        <v>525</v>
      </c>
      <c r="H145" s="138" t="s">
        <v>436</v>
      </c>
      <c r="I145" s="48" t="s">
        <v>532</v>
      </c>
      <c r="J145" s="29" t="s">
        <v>140</v>
      </c>
      <c r="K145" s="48" t="s">
        <v>738</v>
      </c>
      <c r="L145">
        <v>3</v>
      </c>
      <c r="M145" t="s">
        <v>24</v>
      </c>
      <c r="N145" s="3"/>
      <c r="O145" s="3">
        <v>5</v>
      </c>
      <c r="P145" s="3">
        <f t="shared" ref="P145:P152" si="219">(O145+N145)*0.1</f>
        <v>0.5</v>
      </c>
      <c r="Q145" s="4">
        <f>F145*(P145+O145*$O$69+N145)</f>
        <v>7</v>
      </c>
      <c r="R145" s="4"/>
      <c r="S145">
        <f>$T$142*F145</f>
        <v>0</v>
      </c>
      <c r="T145">
        <f t="shared" ref="T145:T156" si="220">A145</f>
        <v>10</v>
      </c>
      <c r="U145" s="90">
        <f>IF(S145-T145&gt;0, S145-T145, 0)</f>
        <v>0</v>
      </c>
      <c r="V145" s="29" t="str">
        <f t="shared" si="215"/>
        <v>PCB for EarthX ETX18B lithium battery</v>
      </c>
      <c r="W145" s="29" t="str">
        <f t="shared" si="216"/>
        <v>3 1/2" x 5" PCB</v>
      </c>
      <c r="X145" s="29" t="str">
        <f t="shared" si="217"/>
        <v>JLC PCB</v>
      </c>
      <c r="Y145" s="30" t="str">
        <f t="shared" si="218"/>
        <v>DSABATA</v>
      </c>
      <c r="Z145" t="s">
        <v>141</v>
      </c>
      <c r="AA145" s="8"/>
    </row>
    <row r="146" spans="1:27" x14ac:dyDescent="0.2">
      <c r="A146" s="152">
        <v>20</v>
      </c>
      <c r="B146" s="150">
        <f t="shared" ref="B146:B156" si="221">A146*Q146/F146</f>
        <v>16.5</v>
      </c>
      <c r="C146" s="8">
        <v>2</v>
      </c>
      <c r="D146" s="48" t="s">
        <v>417</v>
      </c>
      <c r="E146" t="s">
        <v>523</v>
      </c>
      <c r="F146">
        <v>1</v>
      </c>
      <c r="G146" s="40" t="s">
        <v>424</v>
      </c>
      <c r="H146" s="48" t="s">
        <v>423</v>
      </c>
      <c r="I146" s="138" t="s">
        <v>568</v>
      </c>
      <c r="J146" s="29" t="s">
        <v>140</v>
      </c>
      <c r="K146" t="s">
        <v>142</v>
      </c>
      <c r="L146">
        <v>1</v>
      </c>
      <c r="M146" t="s">
        <v>24</v>
      </c>
      <c r="N146" s="3">
        <v>0.75</v>
      </c>
      <c r="O146" s="3"/>
      <c r="P146" s="3">
        <f t="shared" si="219"/>
        <v>7.5000000000000011E-2</v>
      </c>
      <c r="Q146" s="4">
        <f t="shared" ref="Q146:Q159" si="222">F146*(P146+O146*$O$69+N146)</f>
        <v>0.82499999999999996</v>
      </c>
      <c r="R146" s="4"/>
      <c r="S146">
        <f t="shared" ref="S146:S156" si="223">$T$142*F146</f>
        <v>0</v>
      </c>
      <c r="T146">
        <f t="shared" si="220"/>
        <v>20</v>
      </c>
      <c r="U146" s="90">
        <f t="shared" ref="U146:U156" si="224">IF(S146-T146&gt;0, S146-T146, 0)</f>
        <v>0</v>
      </c>
      <c r="V146" s="29" t="str">
        <f t="shared" si="215"/>
        <v>V REF for Battery OK  LED</v>
      </c>
      <c r="W146" s="29" t="str">
        <f t="shared" si="216"/>
        <v>LM4041 PRECISION VOLTAGE REF</v>
      </c>
      <c r="X146" s="29" t="str">
        <f t="shared" si="217"/>
        <v>DigiKey</v>
      </c>
      <c r="Y146" s="30" t="str">
        <f t="shared" si="218"/>
        <v>LM4041DIZ-ADJ/NOPB-ND</v>
      </c>
      <c r="Z146" t="s">
        <v>143</v>
      </c>
      <c r="AA146" s="40"/>
    </row>
    <row r="147" spans="1:27" x14ac:dyDescent="0.2">
      <c r="A147" s="152">
        <v>10</v>
      </c>
      <c r="B147" s="150">
        <f t="shared" si="221"/>
        <v>6.6</v>
      </c>
      <c r="C147" s="40">
        <v>3</v>
      </c>
      <c r="D147" s="48" t="s">
        <v>546</v>
      </c>
      <c r="E147" t="s">
        <v>523</v>
      </c>
      <c r="F147">
        <v>1</v>
      </c>
      <c r="G147" s="40" t="s">
        <v>566</v>
      </c>
      <c r="H147" s="48" t="s">
        <v>567</v>
      </c>
      <c r="I147" s="138" t="s">
        <v>559</v>
      </c>
      <c r="J147" s="29" t="s">
        <v>140</v>
      </c>
      <c r="K147" t="s">
        <v>142</v>
      </c>
      <c r="L147">
        <v>1</v>
      </c>
      <c r="M147" t="s">
        <v>24</v>
      </c>
      <c r="N147" s="3">
        <v>0.6</v>
      </c>
      <c r="O147" s="3"/>
      <c r="P147" s="3">
        <f t="shared" si="219"/>
        <v>0.06</v>
      </c>
      <c r="Q147" s="4">
        <f t="shared" si="222"/>
        <v>0.65999999999999992</v>
      </c>
      <c r="R147" s="4"/>
      <c r="S147">
        <f t="shared" ref="S147:S148" si="225">$T$68*F147</f>
        <v>6</v>
      </c>
      <c r="T147">
        <f t="shared" si="220"/>
        <v>10</v>
      </c>
      <c r="U147" s="90">
        <f t="shared" si="224"/>
        <v>0</v>
      </c>
      <c r="V147" s="29" t="str">
        <f t="shared" si="215"/>
        <v>amplifier for Battery OK  LED</v>
      </c>
      <c r="W147" s="29" t="str">
        <f t="shared" si="216"/>
        <v>NPN transistor - general purpose</v>
      </c>
      <c r="X147" s="29" t="str">
        <f t="shared" si="217"/>
        <v>DigiKey</v>
      </c>
      <c r="Y147" s="30" t="str">
        <f t="shared" si="218"/>
        <v>2N3904-ND</v>
      </c>
      <c r="Z147" t="s">
        <v>143</v>
      </c>
      <c r="AA147" s="40"/>
    </row>
    <row r="148" spans="1:27" x14ac:dyDescent="0.2">
      <c r="A148" s="152">
        <v>10</v>
      </c>
      <c r="B148" s="150">
        <f t="shared" si="221"/>
        <v>2.75</v>
      </c>
      <c r="C148" s="8">
        <v>4</v>
      </c>
      <c r="D148" s="48" t="s">
        <v>550</v>
      </c>
      <c r="E148" t="s">
        <v>523</v>
      </c>
      <c r="F148">
        <v>1</v>
      </c>
      <c r="G148" s="25" t="s">
        <v>552</v>
      </c>
      <c r="H148" s="48" t="s">
        <v>551</v>
      </c>
      <c r="I148" s="48" t="s">
        <v>560</v>
      </c>
      <c r="J148" s="29" t="s">
        <v>140</v>
      </c>
      <c r="K148" t="s">
        <v>142</v>
      </c>
      <c r="L148">
        <v>1</v>
      </c>
      <c r="M148" t="s">
        <v>24</v>
      </c>
      <c r="N148" s="3">
        <v>0.25</v>
      </c>
      <c r="O148" s="3"/>
      <c r="P148" s="3">
        <f t="shared" si="219"/>
        <v>2.5000000000000001E-2</v>
      </c>
      <c r="Q148" s="4">
        <f t="shared" si="222"/>
        <v>0.27500000000000002</v>
      </c>
      <c r="R148" s="4"/>
      <c r="S148">
        <f t="shared" si="225"/>
        <v>6</v>
      </c>
      <c r="T148">
        <f t="shared" si="220"/>
        <v>10</v>
      </c>
      <c r="U148" s="90">
        <f t="shared" si="224"/>
        <v>0</v>
      </c>
      <c r="V148" s="29" t="str">
        <f t="shared" si="215"/>
        <v>voltage clamp across LM4041 (OPTION)</v>
      </c>
      <c r="W148" s="29" t="str">
        <f t="shared" si="216"/>
        <v>Zener diode – 5.1V 500MW</v>
      </c>
      <c r="X148" s="29" t="str">
        <f t="shared" si="217"/>
        <v>DigiKey</v>
      </c>
      <c r="Y148" s="30" t="str">
        <f t="shared" si="218"/>
        <v>1N5231B-ND</v>
      </c>
      <c r="Z148" t="s">
        <v>143</v>
      </c>
    </row>
    <row r="149" spans="1:27" x14ac:dyDescent="0.2">
      <c r="A149" s="152">
        <v>30</v>
      </c>
      <c r="B149" s="150">
        <f t="shared" ref="B149:B150" si="226">A149*Q149/F149</f>
        <v>36.300000000000004</v>
      </c>
      <c r="C149" s="8">
        <v>5</v>
      </c>
      <c r="D149" s="48" t="s">
        <v>526</v>
      </c>
      <c r="E149" t="s">
        <v>523</v>
      </c>
      <c r="F149">
        <v>1</v>
      </c>
      <c r="G149" s="40" t="s">
        <v>528</v>
      </c>
      <c r="H149" s="48" t="s">
        <v>527</v>
      </c>
      <c r="I149" s="48" t="s">
        <v>557</v>
      </c>
      <c r="J149" s="29" t="s">
        <v>140</v>
      </c>
      <c r="K149" t="s">
        <v>142</v>
      </c>
      <c r="L149">
        <v>1</v>
      </c>
      <c r="M149" t="s">
        <v>24</v>
      </c>
      <c r="N149" s="3">
        <v>1.1000000000000001</v>
      </c>
      <c r="O149" s="3"/>
      <c r="P149" s="3">
        <f t="shared" ref="P149" si="227">(O149+N149)*0.1</f>
        <v>0.11000000000000001</v>
      </c>
      <c r="Q149" s="4">
        <f t="shared" ref="Q149" si="228">F149*(P149+O149*$O$69+N149)</f>
        <v>1.2100000000000002</v>
      </c>
      <c r="R149" s="4"/>
      <c r="S149">
        <f t="shared" si="223"/>
        <v>0</v>
      </c>
      <c r="T149">
        <f t="shared" ref="T149" si="229">A149</f>
        <v>30</v>
      </c>
      <c r="U149" s="90">
        <f t="shared" ref="U149" si="230">IF(S149-T149&gt;0, S149-T149, 0)</f>
        <v>0</v>
      </c>
      <c r="V149" s="29" t="str">
        <f t="shared" ref="V149" si="231">I149</f>
        <v>TEST switch for Battery OK</v>
      </c>
      <c r="W149" s="29" t="str">
        <f t="shared" ref="W149" si="232">H149</f>
        <v>PCB mount test switch</v>
      </c>
      <c r="X149" s="29" t="str">
        <f t="shared" ref="X149" si="233">K149</f>
        <v>DigiKey</v>
      </c>
      <c r="Y149" s="30" t="str">
        <f t="shared" ref="Y149" si="234">G149</f>
        <v>CW181-ND</v>
      </c>
      <c r="Z149" t="s">
        <v>143</v>
      </c>
      <c r="AA149" s="40"/>
    </row>
    <row r="150" spans="1:27" x14ac:dyDescent="0.2">
      <c r="A150" s="152">
        <v>10</v>
      </c>
      <c r="B150" s="150">
        <f t="shared" si="226"/>
        <v>28.6</v>
      </c>
      <c r="C150" s="8">
        <v>6</v>
      </c>
      <c r="D150" s="48" t="s">
        <v>529</v>
      </c>
      <c r="E150" t="s">
        <v>523</v>
      </c>
      <c r="F150">
        <v>1</v>
      </c>
      <c r="G150" s="175" t="s">
        <v>531</v>
      </c>
      <c r="H150" s="48" t="s">
        <v>530</v>
      </c>
      <c r="I150" s="48" t="s">
        <v>558</v>
      </c>
      <c r="J150" s="29" t="s">
        <v>140</v>
      </c>
      <c r="K150" t="s">
        <v>142</v>
      </c>
      <c r="L150">
        <v>1</v>
      </c>
      <c r="M150" t="s">
        <v>24</v>
      </c>
      <c r="N150" s="3">
        <v>2.6</v>
      </c>
      <c r="O150" s="3"/>
      <c r="P150" s="3">
        <f t="shared" ref="P150" si="235">(O150+N150)*0.1</f>
        <v>0.26</v>
      </c>
      <c r="Q150" s="4">
        <f t="shared" ref="Q150" si="236">F150*(P150+O150*$O$69+N150)</f>
        <v>2.8600000000000003</v>
      </c>
      <c r="R150" s="4"/>
      <c r="S150">
        <f t="shared" si="223"/>
        <v>0</v>
      </c>
      <c r="T150">
        <f t="shared" ref="T150" si="237">A150</f>
        <v>10</v>
      </c>
      <c r="U150" s="90">
        <f t="shared" ref="U150" si="238">IF(S150-T150&gt;0, S150-T150, 0)</f>
        <v>0</v>
      </c>
      <c r="V150" s="29" t="str">
        <f t="shared" ref="V150" si="239">I150</f>
        <v>TEST switch for Battery OK (alternate)</v>
      </c>
      <c r="W150" s="29" t="str">
        <f t="shared" ref="W150" si="240">H150</f>
        <v>PCB mount test switch (alternate)</v>
      </c>
      <c r="X150" s="29" t="str">
        <f t="shared" ref="X150" si="241">K150</f>
        <v>DigiKey</v>
      </c>
      <c r="Y150" s="30" t="str">
        <f t="shared" ref="Y150" si="242">G150</f>
        <v>EG5357CT-ND</v>
      </c>
      <c r="Z150" t="s">
        <v>143</v>
      </c>
      <c r="AA150" s="40"/>
    </row>
    <row r="151" spans="1:27" x14ac:dyDescent="0.2">
      <c r="A151" s="152">
        <v>20</v>
      </c>
      <c r="B151" s="150">
        <f t="shared" si="221"/>
        <v>33</v>
      </c>
      <c r="C151" s="8">
        <v>7</v>
      </c>
      <c r="D151" s="29" t="s">
        <v>283</v>
      </c>
      <c r="E151" t="s">
        <v>523</v>
      </c>
      <c r="F151">
        <v>2</v>
      </c>
      <c r="G151" s="40" t="s">
        <v>590</v>
      </c>
      <c r="H151" s="29" t="s">
        <v>287</v>
      </c>
      <c r="I151" s="29" t="s">
        <v>284</v>
      </c>
      <c r="J151" s="29" t="s">
        <v>140</v>
      </c>
      <c r="K151" t="s">
        <v>142</v>
      </c>
      <c r="L151">
        <v>1</v>
      </c>
      <c r="M151" t="s">
        <v>24</v>
      </c>
      <c r="N151" s="3">
        <v>1.5</v>
      </c>
      <c r="O151" s="3"/>
      <c r="P151" s="3">
        <f t="shared" si="219"/>
        <v>0.15000000000000002</v>
      </c>
      <c r="Q151" s="4">
        <f t="shared" si="222"/>
        <v>3.3</v>
      </c>
      <c r="R151" s="4"/>
      <c r="S151">
        <f t="shared" si="223"/>
        <v>0</v>
      </c>
      <c r="T151">
        <f t="shared" si="220"/>
        <v>20</v>
      </c>
      <c r="U151" s="90">
        <f t="shared" si="224"/>
        <v>0</v>
      </c>
      <c r="V151" s="29" t="str">
        <f t="shared" si="215"/>
        <v>Polythermal current limiter - 14A</v>
      </c>
      <c r="W151" s="29" t="str">
        <f t="shared" si="216"/>
        <v>14A PTC</v>
      </c>
      <c r="X151" s="29" t="str">
        <f t="shared" si="217"/>
        <v>DigiKey</v>
      </c>
      <c r="Y151" s="30" t="str">
        <f t="shared" si="218"/>
        <v>RGEF1400HF-ND</v>
      </c>
      <c r="Z151" t="s">
        <v>143</v>
      </c>
      <c r="AA151" s="40"/>
    </row>
    <row r="152" spans="1:27" x14ac:dyDescent="0.2">
      <c r="A152" s="151">
        <v>25</v>
      </c>
      <c r="B152" s="150">
        <f t="shared" si="221"/>
        <v>16.499999999999996</v>
      </c>
      <c r="C152" s="8">
        <v>8</v>
      </c>
      <c r="D152" s="48" t="s">
        <v>549</v>
      </c>
      <c r="E152" t="s">
        <v>523</v>
      </c>
      <c r="F152">
        <v>1</v>
      </c>
      <c r="G152" s="40" t="s">
        <v>386</v>
      </c>
      <c r="H152" s="29" t="s">
        <v>385</v>
      </c>
      <c r="I152" s="48" t="s">
        <v>556</v>
      </c>
      <c r="J152" s="29" t="s">
        <v>140</v>
      </c>
      <c r="K152" t="s">
        <v>142</v>
      </c>
      <c r="L152">
        <v>1</v>
      </c>
      <c r="M152" t="s">
        <v>24</v>
      </c>
      <c r="N152" s="3">
        <v>0.6</v>
      </c>
      <c r="O152" s="3"/>
      <c r="P152" s="3">
        <f t="shared" si="219"/>
        <v>0.06</v>
      </c>
      <c r="Q152" s="4">
        <f t="shared" si="222"/>
        <v>0.65999999999999992</v>
      </c>
      <c r="R152" s="4"/>
      <c r="S152">
        <f t="shared" ref="S152" si="243">$T$68*F152</f>
        <v>6</v>
      </c>
      <c r="T152">
        <f t="shared" si="220"/>
        <v>25</v>
      </c>
      <c r="U152" s="90">
        <f t="shared" si="224"/>
        <v>0</v>
      </c>
      <c r="V152" s="29" t="str">
        <f t="shared" si="215"/>
        <v>Battery OK   LED</v>
      </c>
      <c r="W152" s="29" t="str">
        <f t="shared" si="216"/>
        <v>high brightness GREEN LED (30mA) pg 583</v>
      </c>
      <c r="X152" s="29" t="str">
        <f t="shared" si="217"/>
        <v>DigiKey</v>
      </c>
      <c r="Y152" s="30" t="str">
        <f t="shared" si="218"/>
        <v>P461-ND</v>
      </c>
      <c r="Z152" t="s">
        <v>143</v>
      </c>
    </row>
    <row r="153" spans="1:27" x14ac:dyDescent="0.2">
      <c r="A153" s="152">
        <v>25</v>
      </c>
      <c r="B153" s="150">
        <f t="shared" ref="B153" si="244">A153*Q153/F153</f>
        <v>2.7500000000000004</v>
      </c>
      <c r="C153" s="8">
        <v>9</v>
      </c>
      <c r="D153" s="48" t="s">
        <v>600</v>
      </c>
      <c r="E153" t="s">
        <v>523</v>
      </c>
      <c r="F153">
        <v>2</v>
      </c>
      <c r="G153" s="40" t="s">
        <v>157</v>
      </c>
      <c r="H153" s="48" t="s">
        <v>428</v>
      </c>
      <c r="I153" s="48" t="s">
        <v>565</v>
      </c>
      <c r="J153" s="29" t="s">
        <v>140</v>
      </c>
      <c r="K153" t="s">
        <v>142</v>
      </c>
      <c r="L153">
        <v>1</v>
      </c>
      <c r="M153" t="s">
        <v>24</v>
      </c>
      <c r="N153" s="3">
        <v>0.1</v>
      </c>
      <c r="O153" s="3"/>
      <c r="P153" s="3">
        <f t="shared" ref="P153" si="245">(O153+N153)*0.1</f>
        <v>1.0000000000000002E-2</v>
      </c>
      <c r="Q153" s="4">
        <f t="shared" ref="Q153" si="246">F153*(P153+O153*$O$69+N153)</f>
        <v>0.22000000000000003</v>
      </c>
      <c r="R153" s="4"/>
      <c r="S153">
        <f t="shared" ref="S153" si="247">$T$142*F153</f>
        <v>0</v>
      </c>
      <c r="T153">
        <f t="shared" ref="T153" si="248">A153</f>
        <v>25</v>
      </c>
      <c r="U153" s="90">
        <f t="shared" ref="U153" si="249">IF(S153-T153&gt;0, S153-T153, 0)</f>
        <v>0</v>
      </c>
      <c r="V153" s="29" t="str">
        <f>I153</f>
        <v>2N3904 base resistor</v>
      </c>
      <c r="W153" s="29" t="str">
        <f t="shared" ref="W153" si="250">H153</f>
        <v>10K - 5% 1/8 W resistor</v>
      </c>
      <c r="X153" s="29" t="str">
        <f>K153</f>
        <v>DigiKey</v>
      </c>
      <c r="Y153" s="30" t="str">
        <f t="shared" ref="Y153" si="251">G153</f>
        <v>10KEBK-ND</v>
      </c>
      <c r="Z153" t="s">
        <v>143</v>
      </c>
    </row>
    <row r="154" spans="1:27" x14ac:dyDescent="0.2">
      <c r="A154" s="152">
        <v>25</v>
      </c>
      <c r="B154" s="150">
        <f t="shared" si="221"/>
        <v>5</v>
      </c>
      <c r="C154" s="40">
        <v>10</v>
      </c>
      <c r="D154" s="48" t="s">
        <v>553</v>
      </c>
      <c r="E154" t="s">
        <v>523</v>
      </c>
      <c r="F154">
        <v>1</v>
      </c>
      <c r="G154" s="40" t="s">
        <v>522</v>
      </c>
      <c r="H154" s="48" t="s">
        <v>602</v>
      </c>
      <c r="I154" s="48" t="s">
        <v>561</v>
      </c>
      <c r="J154" s="29" t="s">
        <v>140</v>
      </c>
      <c r="K154" t="s">
        <v>142</v>
      </c>
      <c r="L154">
        <v>1</v>
      </c>
      <c r="M154" t="s">
        <v>24</v>
      </c>
      <c r="N154" s="3">
        <v>0.1</v>
      </c>
      <c r="O154" s="3"/>
      <c r="P154" s="3">
        <v>0.1</v>
      </c>
      <c r="Q154" s="4">
        <f t="shared" si="222"/>
        <v>0.2</v>
      </c>
      <c r="R154" s="4"/>
      <c r="S154">
        <f t="shared" ref="S154" si="252">$T$68*F154</f>
        <v>6</v>
      </c>
      <c r="T154">
        <f t="shared" si="220"/>
        <v>25</v>
      </c>
      <c r="U154" s="90">
        <f t="shared" si="224"/>
        <v>0</v>
      </c>
      <c r="V154" s="29" t="str">
        <f t="shared" ref="V154" si="253">I154</f>
        <v>Battery OK  LED resistor</v>
      </c>
      <c r="W154" s="29" t="str">
        <f t="shared" ref="W154:W156" si="254">H154</f>
        <v>464R - 1% 1/4 W resistor</v>
      </c>
      <c r="X154" s="29" t="str">
        <f t="shared" ref="X154" si="255">K154</f>
        <v>DigiKey</v>
      </c>
      <c r="Y154" s="30" t="str">
        <f t="shared" ref="Y154:Y156" si="256">G154</f>
        <v>464XBK-ND</v>
      </c>
      <c r="Z154" t="s">
        <v>143</v>
      </c>
    </row>
    <row r="155" spans="1:27" x14ac:dyDescent="0.2">
      <c r="A155" s="152">
        <v>25</v>
      </c>
      <c r="B155" s="150">
        <f t="shared" si="221"/>
        <v>5</v>
      </c>
      <c r="C155" s="8">
        <v>11</v>
      </c>
      <c r="D155" s="48" t="s">
        <v>596</v>
      </c>
      <c r="E155" t="s">
        <v>523</v>
      </c>
      <c r="F155">
        <v>1</v>
      </c>
      <c r="G155" s="40" t="s">
        <v>555</v>
      </c>
      <c r="H155" s="48" t="s">
        <v>562</v>
      </c>
      <c r="I155" s="48" t="s">
        <v>429</v>
      </c>
      <c r="J155" s="29" t="s">
        <v>140</v>
      </c>
      <c r="K155" t="s">
        <v>142</v>
      </c>
      <c r="L155">
        <v>1</v>
      </c>
      <c r="M155" t="s">
        <v>24</v>
      </c>
      <c r="N155" s="3">
        <v>0.1</v>
      </c>
      <c r="O155" s="3"/>
      <c r="P155" s="3">
        <v>0.1</v>
      </c>
      <c r="Q155" s="4">
        <f t="shared" si="222"/>
        <v>0.2</v>
      </c>
      <c r="R155" s="4"/>
      <c r="S155">
        <f t="shared" si="223"/>
        <v>0</v>
      </c>
      <c r="T155">
        <f t="shared" si="220"/>
        <v>25</v>
      </c>
      <c r="U155" s="90">
        <f t="shared" si="224"/>
        <v>0</v>
      </c>
      <c r="V155" s="29" t="str">
        <f t="shared" ref="V155:V156" si="257">I155</f>
        <v>Vref voltage divider</v>
      </c>
      <c r="W155" s="29" t="str">
        <f t="shared" si="254"/>
        <v>1.00M - 1% 1/4 W resistor (critical value)</v>
      </c>
      <c r="X155" s="29" t="str">
        <f t="shared" ref="X155:X156" si="258">K155</f>
        <v>DigiKey</v>
      </c>
      <c r="Y155" s="30" t="str">
        <f t="shared" si="256"/>
        <v>1.00MXBK-ND</v>
      </c>
      <c r="Z155" t="s">
        <v>143</v>
      </c>
    </row>
    <row r="156" spans="1:27" x14ac:dyDescent="0.2">
      <c r="A156" s="152">
        <v>25</v>
      </c>
      <c r="B156" s="150">
        <f t="shared" si="221"/>
        <v>5</v>
      </c>
      <c r="C156" s="8">
        <v>12</v>
      </c>
      <c r="D156" s="48" t="s">
        <v>597</v>
      </c>
      <c r="E156" t="s">
        <v>523</v>
      </c>
      <c r="F156">
        <v>1</v>
      </c>
      <c r="G156" s="40" t="s">
        <v>563</v>
      </c>
      <c r="H156" s="48" t="s">
        <v>564</v>
      </c>
      <c r="I156" s="48" t="s">
        <v>429</v>
      </c>
      <c r="J156" s="29" t="s">
        <v>140</v>
      </c>
      <c r="K156" t="s">
        <v>142</v>
      </c>
      <c r="L156">
        <v>1</v>
      </c>
      <c r="M156" t="s">
        <v>24</v>
      </c>
      <c r="N156" s="3">
        <v>0.1</v>
      </c>
      <c r="O156" s="3"/>
      <c r="P156" s="3">
        <v>0.1</v>
      </c>
      <c r="Q156" s="4">
        <f t="shared" si="222"/>
        <v>0.2</v>
      </c>
      <c r="R156" s="4"/>
      <c r="S156">
        <f t="shared" si="223"/>
        <v>0</v>
      </c>
      <c r="T156">
        <f t="shared" si="220"/>
        <v>25</v>
      </c>
      <c r="U156" s="90">
        <f t="shared" si="224"/>
        <v>0</v>
      </c>
      <c r="V156" s="29" t="str">
        <f t="shared" si="257"/>
        <v>Vref voltage divider</v>
      </c>
      <c r="W156" s="29" t="str">
        <f t="shared" si="254"/>
        <v>105K - 1% 1/4 W resistor (critical value)</v>
      </c>
      <c r="X156" s="29" t="str">
        <f t="shared" si="258"/>
        <v>DigiKey</v>
      </c>
      <c r="Y156" s="30" t="str">
        <f t="shared" si="256"/>
        <v>105KXBK-ND</v>
      </c>
      <c r="Z156" t="s">
        <v>143</v>
      </c>
    </row>
    <row r="157" spans="1:27" x14ac:dyDescent="0.2">
      <c r="A157" s="152">
        <v>25</v>
      </c>
      <c r="B157" s="150">
        <f t="shared" ref="B157" si="259">A157*Q157/F157</f>
        <v>52.5</v>
      </c>
      <c r="C157" s="8">
        <v>13</v>
      </c>
      <c r="D157" s="48" t="s">
        <v>740</v>
      </c>
      <c r="E157" t="s">
        <v>523</v>
      </c>
      <c r="F157">
        <v>1</v>
      </c>
      <c r="G157" s="40"/>
      <c r="H157" s="48" t="s">
        <v>740</v>
      </c>
      <c r="I157" s="48" t="s">
        <v>740</v>
      </c>
      <c r="J157" s="29" t="s">
        <v>140</v>
      </c>
      <c r="K157" s="48" t="s">
        <v>181</v>
      </c>
      <c r="L157">
        <v>1</v>
      </c>
      <c r="M157" t="s">
        <v>24</v>
      </c>
      <c r="N157" s="3">
        <v>2</v>
      </c>
      <c r="O157" s="3"/>
      <c r="P157" s="3">
        <v>0.1</v>
      </c>
      <c r="Q157" s="4">
        <f t="shared" ref="Q157" si="260">F157*(P157+O157*$O$69+N157)</f>
        <v>2.1</v>
      </c>
      <c r="R157" s="4"/>
      <c r="S157">
        <f t="shared" ref="S157" si="261">$T$142*F157</f>
        <v>0</v>
      </c>
      <c r="T157">
        <f t="shared" ref="T157" si="262">A157</f>
        <v>25</v>
      </c>
      <c r="U157" s="90">
        <f t="shared" ref="U157" si="263">IF(S157-T157&gt;0, S157-T157, 0)</f>
        <v>0</v>
      </c>
      <c r="V157" s="29" t="str">
        <f t="shared" ref="V157" si="264">I157</f>
        <v>16 GA wire harness</v>
      </c>
      <c r="W157" s="29" t="str">
        <f t="shared" ref="W157" si="265">H157</f>
        <v>16 GA wire harness</v>
      </c>
      <c r="X157" s="29" t="str">
        <f t="shared" ref="X157" si="266">K157</f>
        <v>IML</v>
      </c>
      <c r="Y157" s="30">
        <f t="shared" ref="Y157" si="267">G157</f>
        <v>0</v>
      </c>
      <c r="Z157" t="s">
        <v>143</v>
      </c>
    </row>
    <row r="158" spans="1:27" x14ac:dyDescent="0.2">
      <c r="A158" s="152"/>
      <c r="B158" s="153"/>
      <c r="C158" s="8">
        <v>14</v>
      </c>
      <c r="E158" t="s">
        <v>523</v>
      </c>
      <c r="F158">
        <v>1</v>
      </c>
      <c r="G158" s="106"/>
      <c r="H158" s="48"/>
      <c r="I158" s="35" t="s">
        <v>158</v>
      </c>
      <c r="L158">
        <v>1</v>
      </c>
      <c r="M158" t="s">
        <v>28</v>
      </c>
      <c r="N158" s="3"/>
      <c r="O158" s="3"/>
      <c r="P158" s="3">
        <v>0</v>
      </c>
      <c r="Q158" s="4">
        <f t="shared" si="222"/>
        <v>0</v>
      </c>
      <c r="R158" s="4"/>
      <c r="Y158" s="8"/>
      <c r="Z158" s="40"/>
      <c r="AA158" s="40"/>
    </row>
    <row r="159" spans="1:27" x14ac:dyDescent="0.2">
      <c r="A159" s="152"/>
      <c r="B159" s="153"/>
      <c r="E159" t="s">
        <v>523</v>
      </c>
      <c r="F159" s="9">
        <v>1</v>
      </c>
      <c r="G159" s="48"/>
      <c r="H159" s="48"/>
      <c r="I159" s="32" t="s">
        <v>43</v>
      </c>
      <c r="J159" s="9"/>
      <c r="K159" s="9"/>
      <c r="L159" s="9"/>
      <c r="M159" s="9" t="s">
        <v>28</v>
      </c>
      <c r="N159" s="11"/>
      <c r="O159" s="11"/>
      <c r="P159" s="11">
        <v>0</v>
      </c>
      <c r="Q159" s="12">
        <f t="shared" si="222"/>
        <v>0</v>
      </c>
      <c r="R159" s="4"/>
      <c r="Y159" s="8"/>
      <c r="Z159" s="40"/>
      <c r="AA159" s="40"/>
    </row>
    <row r="160" spans="1:27" x14ac:dyDescent="0.2">
      <c r="A160" s="152"/>
      <c r="B160" s="153"/>
      <c r="E160" t="s">
        <v>523</v>
      </c>
      <c r="G160" s="8"/>
      <c r="I160" s="6" t="s">
        <v>582</v>
      </c>
      <c r="N160" s="3"/>
      <c r="O160" s="3"/>
      <c r="P160" s="3"/>
      <c r="Q160" s="22">
        <f>SUM(Q145:Q159)</f>
        <v>19.71</v>
      </c>
      <c r="R160" s="22"/>
      <c r="Y160" s="8"/>
      <c r="Z160" s="40"/>
      <c r="AA160" s="40"/>
    </row>
    <row r="161" spans="1:27" x14ac:dyDescent="0.2">
      <c r="A161" s="29"/>
      <c r="B161" s="102"/>
      <c r="G161" s="8"/>
      <c r="I161" s="35" t="s">
        <v>44</v>
      </c>
      <c r="N161" s="3"/>
      <c r="O161" s="3"/>
      <c r="P161" s="3"/>
      <c r="Q161" s="22">
        <v>0</v>
      </c>
      <c r="R161" s="22"/>
      <c r="Y161" s="8"/>
      <c r="Z161" s="40"/>
      <c r="AA161" s="40"/>
    </row>
    <row r="162" spans="1:27" x14ac:dyDescent="0.2">
      <c r="A162" s="29"/>
      <c r="B162" s="102"/>
      <c r="D162" t="s">
        <v>198</v>
      </c>
      <c r="G162" s="8"/>
      <c r="I162" t="s">
        <v>45</v>
      </c>
      <c r="N162" s="3"/>
      <c r="O162" s="3"/>
      <c r="P162" s="3"/>
      <c r="Q162" s="13">
        <v>20</v>
      </c>
      <c r="R162" s="13"/>
      <c r="Y162" s="8"/>
      <c r="Z162" s="40"/>
      <c r="AA162" s="40"/>
    </row>
    <row r="163" spans="1:27" x14ac:dyDescent="0.2">
      <c r="A163" s="29"/>
      <c r="B163" s="102"/>
      <c r="F163">
        <v>5</v>
      </c>
      <c r="G163" s="8"/>
      <c r="I163" t="s">
        <v>46</v>
      </c>
      <c r="N163" s="3"/>
      <c r="O163" s="3"/>
      <c r="P163" s="3"/>
      <c r="R163" s="4"/>
      <c r="Y163" s="8"/>
      <c r="Z163" s="40"/>
      <c r="AA163" s="40"/>
    </row>
    <row r="164" spans="1:27" x14ac:dyDescent="0.2">
      <c r="A164" s="29"/>
      <c r="B164" s="102"/>
      <c r="G164" s="8"/>
      <c r="I164" s="35" t="s">
        <v>47</v>
      </c>
      <c r="N164" s="3"/>
      <c r="O164" s="3"/>
      <c r="P164" s="3"/>
      <c r="Q164" s="22">
        <f>Q162*F163</f>
        <v>100</v>
      </c>
      <c r="R164" s="4"/>
      <c r="Y164" s="8"/>
      <c r="Z164" s="40"/>
      <c r="AA164" s="40"/>
    </row>
    <row r="165" spans="1:27" ht="20.25" x14ac:dyDescent="0.3">
      <c r="A165" s="152"/>
      <c r="B165" s="153"/>
      <c r="D165" s="1" t="s">
        <v>719</v>
      </c>
      <c r="E165" s="26"/>
      <c r="G165" s="8"/>
      <c r="H165" s="15"/>
      <c r="O165" s="92" t="s">
        <v>2</v>
      </c>
      <c r="S165" s="32" t="s">
        <v>3</v>
      </c>
      <c r="T165" s="9">
        <f>T116</f>
        <v>0</v>
      </c>
      <c r="Y165" s="8"/>
      <c r="Z165" s="8"/>
      <c r="AA165" s="8"/>
    </row>
    <row r="166" spans="1:27" x14ac:dyDescent="0.2">
      <c r="A166" s="152"/>
      <c r="B166" s="95"/>
      <c r="G166" s="8"/>
      <c r="O166" s="92">
        <f>O69</f>
        <v>1.3</v>
      </c>
      <c r="Y166" s="8"/>
      <c r="Z166" s="8"/>
      <c r="AA166" s="8"/>
    </row>
    <row r="167" spans="1:27" ht="15.75" x14ac:dyDescent="0.25">
      <c r="A167" s="152"/>
      <c r="B167" s="149">
        <f>SUM(B168:B179)</f>
        <v>0</v>
      </c>
      <c r="D167" s="32" t="s">
        <v>139</v>
      </c>
      <c r="E167" s="32" t="s">
        <v>5</v>
      </c>
      <c r="F167" s="32" t="s">
        <v>16</v>
      </c>
      <c r="G167" s="34" t="s">
        <v>10</v>
      </c>
      <c r="H167" s="32" t="s">
        <v>7</v>
      </c>
      <c r="I167" s="32" t="s">
        <v>6</v>
      </c>
      <c r="J167" s="32" t="s">
        <v>8</v>
      </c>
      <c r="K167" s="32" t="s">
        <v>9</v>
      </c>
      <c r="L167" s="32" t="s">
        <v>11</v>
      </c>
      <c r="M167" s="32" t="s">
        <v>12</v>
      </c>
      <c r="N167" s="32" t="s">
        <v>13</v>
      </c>
      <c r="O167" s="32" t="s">
        <v>14</v>
      </c>
      <c r="P167" s="32" t="s">
        <v>15</v>
      </c>
      <c r="Q167" s="32" t="s">
        <v>17</v>
      </c>
      <c r="R167" s="32"/>
      <c r="S167" s="35" t="s">
        <v>18</v>
      </c>
      <c r="T167" s="35" t="s">
        <v>19</v>
      </c>
      <c r="U167" s="35" t="s">
        <v>20</v>
      </c>
      <c r="V167" s="35" t="str">
        <f t="shared" ref="V167:V179" si="268">I167</f>
        <v>Name</v>
      </c>
      <c r="W167" s="35" t="str">
        <f t="shared" ref="W167:W179" si="269">H167</f>
        <v>Description</v>
      </c>
      <c r="X167" s="35" t="str">
        <f t="shared" ref="X167:X179" si="270">K167</f>
        <v>Vendor</v>
      </c>
      <c r="Y167" s="33" t="str">
        <f t="shared" ref="Y167:Y179" si="271">G167</f>
        <v>Vendor Part #</v>
      </c>
      <c r="Z167" s="33" t="s">
        <v>328</v>
      </c>
      <c r="AA167" s="33" t="s">
        <v>132</v>
      </c>
    </row>
    <row r="168" spans="1:27" x14ac:dyDescent="0.2">
      <c r="A168" s="152"/>
      <c r="B168" s="150">
        <f t="shared" ref="B168:B179" si="272">A168*Q168/F168</f>
        <v>0</v>
      </c>
      <c r="C168" s="8">
        <v>1</v>
      </c>
      <c r="D168" t="s">
        <v>173</v>
      </c>
      <c r="E168" s="48" t="s">
        <v>737</v>
      </c>
      <c r="F168">
        <v>1</v>
      </c>
      <c r="G168" s="30"/>
      <c r="H168" t="s">
        <v>170</v>
      </c>
      <c r="I168" t="s">
        <v>140</v>
      </c>
      <c r="J168" t="s">
        <v>177</v>
      </c>
      <c r="K168" s="48" t="s">
        <v>718</v>
      </c>
      <c r="L168">
        <v>3</v>
      </c>
      <c r="M168" t="s">
        <v>24</v>
      </c>
      <c r="N168" s="3"/>
      <c r="O168" s="3">
        <v>8</v>
      </c>
      <c r="P168" s="3">
        <f t="shared" ref="P168:P179" si="273">(O168+N168)*0.1</f>
        <v>0.8</v>
      </c>
      <c r="Q168" s="4">
        <f t="shared" ref="Q168:Q181" si="274">F168*(P168+O168*$O$69+N168)</f>
        <v>11.200000000000001</v>
      </c>
      <c r="R168" s="4"/>
      <c r="S168">
        <f t="shared" ref="S168:S179" si="275">$T$68*F168</f>
        <v>6</v>
      </c>
      <c r="T168">
        <f>A168</f>
        <v>0</v>
      </c>
      <c r="U168" s="90">
        <f t="shared" ref="U168:U179" si="276">IF(S168-T168&gt;0, S168-T168, 0)</f>
        <v>6</v>
      </c>
      <c r="V168" s="29" t="str">
        <f t="shared" si="268"/>
        <v>PCB</v>
      </c>
      <c r="W168" s="29" t="str">
        <f t="shared" si="269"/>
        <v>2.5" x 2.5" single sided PCB</v>
      </c>
      <c r="X168" s="29" t="str">
        <f t="shared" si="270"/>
        <v>JLC LCB</v>
      </c>
      <c r="Y168" s="30">
        <f t="shared" si="271"/>
        <v>0</v>
      </c>
      <c r="Z168" t="s">
        <v>141</v>
      </c>
      <c r="AA168" s="8"/>
    </row>
    <row r="169" spans="1:27" x14ac:dyDescent="0.2">
      <c r="A169" s="152"/>
      <c r="B169" s="150">
        <f t="shared" si="272"/>
        <v>0</v>
      </c>
      <c r="C169" s="8">
        <v>2</v>
      </c>
      <c r="D169" s="48" t="s">
        <v>720</v>
      </c>
      <c r="E169" s="48" t="s">
        <v>737</v>
      </c>
      <c r="F169">
        <v>1</v>
      </c>
      <c r="G169" s="214" t="s">
        <v>724</v>
      </c>
      <c r="H169" s="48" t="s">
        <v>725</v>
      </c>
      <c r="I169" s="48" t="s">
        <v>727</v>
      </c>
      <c r="J169" t="s">
        <v>177</v>
      </c>
      <c r="K169" s="48" t="s">
        <v>735</v>
      </c>
      <c r="L169">
        <v>3</v>
      </c>
      <c r="M169" t="s">
        <v>24</v>
      </c>
      <c r="N169" s="3"/>
      <c r="O169" s="3">
        <v>15</v>
      </c>
      <c r="P169" s="3">
        <f t="shared" si="273"/>
        <v>1.5</v>
      </c>
      <c r="Q169" s="4">
        <f t="shared" si="274"/>
        <v>21</v>
      </c>
      <c r="R169" s="4"/>
      <c r="S169">
        <f t="shared" si="275"/>
        <v>6</v>
      </c>
      <c r="T169">
        <f t="shared" ref="T169:T179" si="277">A169</f>
        <v>0</v>
      </c>
      <c r="U169" s="90">
        <f t="shared" si="276"/>
        <v>6</v>
      </c>
      <c r="V169" s="29" t="str">
        <f t="shared" si="268"/>
        <v>PIC</v>
      </c>
      <c r="W169" s="29" t="str">
        <f t="shared" si="269"/>
        <v>Beetle BLE Arduino PIC</v>
      </c>
      <c r="X169" s="29" t="str">
        <f t="shared" si="270"/>
        <v>DFRobot.com</v>
      </c>
      <c r="Y169" s="30" t="str">
        <f t="shared" si="271"/>
        <v>DFR0339</v>
      </c>
    </row>
    <row r="170" spans="1:27" x14ac:dyDescent="0.2">
      <c r="A170" s="152"/>
      <c r="B170" s="150">
        <f t="shared" ref="B170:B172" si="278">A170*Q170/F170</f>
        <v>0</v>
      </c>
      <c r="C170" s="8">
        <v>2</v>
      </c>
      <c r="D170" s="48" t="s">
        <v>721</v>
      </c>
      <c r="E170" s="48" t="s">
        <v>737</v>
      </c>
      <c r="F170">
        <v>1</v>
      </c>
      <c r="G170" s="214">
        <v>2991</v>
      </c>
      <c r="H170" s="48" t="s">
        <v>726</v>
      </c>
      <c r="I170" s="48" t="s">
        <v>728</v>
      </c>
      <c r="J170" t="s">
        <v>177</v>
      </c>
      <c r="K170" s="48" t="s">
        <v>734</v>
      </c>
      <c r="L170">
        <v>3</v>
      </c>
      <c r="M170" t="s">
        <v>24</v>
      </c>
      <c r="N170" s="3"/>
      <c r="O170" s="3">
        <v>30</v>
      </c>
      <c r="P170" s="3">
        <f t="shared" ref="P170:P172" si="279">(O170+N170)*0.1</f>
        <v>3</v>
      </c>
      <c r="Q170" s="4">
        <f t="shared" ref="Q170:Q172" si="280">F170*(P170+O170*$O$69+N170)</f>
        <v>42</v>
      </c>
      <c r="R170" s="4"/>
      <c r="S170">
        <f t="shared" ref="S170:S172" si="281">$T$68*F170</f>
        <v>6</v>
      </c>
      <c r="T170">
        <f t="shared" ref="T170:T172" si="282">A170</f>
        <v>0</v>
      </c>
      <c r="U170" s="90">
        <f t="shared" ref="U170:U172" si="283">IF(S170-T170&gt;0, S170-T170, 0)</f>
        <v>6</v>
      </c>
      <c r="V170" s="29" t="str">
        <f t="shared" ref="V170:V172" si="284">I170</f>
        <v>PWM motor driver</v>
      </c>
      <c r="W170" s="29" t="str">
        <f t="shared" ref="W170:W172" si="285">H170</f>
        <v>Pololu G2 motor driver 17A</v>
      </c>
      <c r="X170" s="29" t="str">
        <f t="shared" ref="X170:X172" si="286">K170</f>
        <v>Pololu.com</v>
      </c>
      <c r="Y170" s="30">
        <f t="shared" ref="Y170:Y172" si="287">G170</f>
        <v>2991</v>
      </c>
    </row>
    <row r="171" spans="1:27" x14ac:dyDescent="0.2">
      <c r="A171" s="152"/>
      <c r="B171" s="150">
        <f t="shared" si="278"/>
        <v>0</v>
      </c>
      <c r="C171" s="8">
        <v>2</v>
      </c>
      <c r="D171" s="48" t="s">
        <v>722</v>
      </c>
      <c r="E171" s="48" t="s">
        <v>737</v>
      </c>
      <c r="F171">
        <v>1</v>
      </c>
      <c r="G171" s="214">
        <v>2815</v>
      </c>
      <c r="H171" s="48" t="s">
        <v>729</v>
      </c>
      <c r="I171" s="48" t="s">
        <v>732</v>
      </c>
      <c r="J171" t="s">
        <v>177</v>
      </c>
      <c r="K171" s="48" t="s">
        <v>734</v>
      </c>
      <c r="L171">
        <v>3</v>
      </c>
      <c r="M171" t="s">
        <v>24</v>
      </c>
      <c r="N171" s="3"/>
      <c r="O171" s="3">
        <v>7</v>
      </c>
      <c r="P171" s="3">
        <f t="shared" si="279"/>
        <v>0.70000000000000007</v>
      </c>
      <c r="Q171" s="4">
        <f t="shared" si="280"/>
        <v>9.7999999999999989</v>
      </c>
      <c r="R171" s="4"/>
      <c r="S171">
        <f t="shared" si="281"/>
        <v>6</v>
      </c>
      <c r="T171">
        <f t="shared" si="282"/>
        <v>0</v>
      </c>
      <c r="U171" s="90">
        <f t="shared" si="283"/>
        <v>6</v>
      </c>
      <c r="V171" s="29" t="str">
        <f t="shared" si="284"/>
        <v>power switch</v>
      </c>
      <c r="W171" s="29" t="str">
        <f t="shared" si="285"/>
        <v>Pololu MOSFET switch</v>
      </c>
      <c r="X171" s="29" t="str">
        <f t="shared" si="286"/>
        <v>Pololu.com</v>
      </c>
      <c r="Y171" s="30">
        <f t="shared" si="287"/>
        <v>2815</v>
      </c>
    </row>
    <row r="172" spans="1:27" x14ac:dyDescent="0.2">
      <c r="A172" s="152"/>
      <c r="B172" s="150">
        <f t="shared" si="278"/>
        <v>0</v>
      </c>
      <c r="C172" s="8">
        <v>2</v>
      </c>
      <c r="D172" s="48" t="s">
        <v>723</v>
      </c>
      <c r="E172" s="48" t="s">
        <v>737</v>
      </c>
      <c r="F172">
        <v>1</v>
      </c>
      <c r="G172" s="214" t="s">
        <v>733</v>
      </c>
      <c r="H172" s="48" t="s">
        <v>730</v>
      </c>
      <c r="I172" s="48" t="s">
        <v>731</v>
      </c>
      <c r="J172" t="s">
        <v>177</v>
      </c>
      <c r="K172" s="48" t="s">
        <v>735</v>
      </c>
      <c r="L172">
        <v>3</v>
      </c>
      <c r="M172" t="s">
        <v>24</v>
      </c>
      <c r="N172" s="3"/>
      <c r="O172" s="3">
        <v>8</v>
      </c>
      <c r="P172" s="3">
        <f t="shared" si="279"/>
        <v>0.8</v>
      </c>
      <c r="Q172" s="4">
        <f t="shared" si="280"/>
        <v>11.200000000000001</v>
      </c>
      <c r="R172" s="4"/>
      <c r="S172">
        <f t="shared" si="281"/>
        <v>6</v>
      </c>
      <c r="T172">
        <f t="shared" si="282"/>
        <v>0</v>
      </c>
      <c r="U172" s="90">
        <f t="shared" si="283"/>
        <v>6</v>
      </c>
      <c r="V172" s="29" t="str">
        <f t="shared" si="284"/>
        <v>power supply</v>
      </c>
      <c r="W172" s="29" t="str">
        <f t="shared" si="285"/>
        <v>Buck 12v/5V power supply</v>
      </c>
      <c r="X172" s="29" t="str">
        <f t="shared" si="286"/>
        <v>DFRobot.com</v>
      </c>
      <c r="Y172" s="30" t="str">
        <f t="shared" si="287"/>
        <v>DFR0831</v>
      </c>
    </row>
    <row r="173" spans="1:27" x14ac:dyDescent="0.2">
      <c r="A173" s="152"/>
      <c r="B173" s="150">
        <f t="shared" ref="B173" si="288">A173*Q173/F173</f>
        <v>0</v>
      </c>
      <c r="C173" s="8">
        <v>2</v>
      </c>
      <c r="D173" s="48" t="s">
        <v>742</v>
      </c>
      <c r="E173" s="48" t="s">
        <v>737</v>
      </c>
      <c r="F173">
        <v>1</v>
      </c>
      <c r="G173" s="214" t="s">
        <v>741</v>
      </c>
      <c r="H173" s="48" t="s">
        <v>743</v>
      </c>
      <c r="I173" s="48" t="s">
        <v>75</v>
      </c>
      <c r="J173" t="s">
        <v>177</v>
      </c>
      <c r="K173" s="48" t="s">
        <v>181</v>
      </c>
      <c r="L173">
        <v>3</v>
      </c>
      <c r="M173" t="s">
        <v>24</v>
      </c>
      <c r="N173" s="3">
        <v>48</v>
      </c>
      <c r="O173" s="3"/>
      <c r="P173" s="3">
        <f t="shared" ref="P173" si="289">(O173+N173)*0.1</f>
        <v>4.8000000000000007</v>
      </c>
      <c r="Q173" s="4">
        <f t="shared" ref="Q173" si="290">F173*(P173+O173*$O$69+N173)</f>
        <v>52.8</v>
      </c>
      <c r="R173" s="4"/>
      <c r="S173">
        <f t="shared" ref="S173" si="291">$T$68*F173</f>
        <v>6</v>
      </c>
      <c r="T173">
        <f t="shared" ref="T173" si="292">A173</f>
        <v>0</v>
      </c>
      <c r="U173" s="90">
        <f t="shared" ref="U173" si="293">IF(S173-T173&gt;0, S173-T173, 0)</f>
        <v>6</v>
      </c>
      <c r="V173" s="29" t="str">
        <f t="shared" ref="V173" si="294">I173</f>
        <v>S&amp;P Module</v>
      </c>
      <c r="W173" s="29" t="str">
        <f t="shared" ref="W173" si="295">H173</f>
        <v>Sip &amp; Puff sensot PCB</v>
      </c>
      <c r="X173" s="29" t="str">
        <f t="shared" ref="X173" si="296">K173</f>
        <v>IML</v>
      </c>
      <c r="Y173" s="30" t="str">
        <f t="shared" ref="Y173" si="297">G173</f>
        <v>SNP PCB</v>
      </c>
    </row>
    <row r="174" spans="1:27" x14ac:dyDescent="0.2">
      <c r="A174" s="152"/>
      <c r="B174" s="150">
        <f t="shared" si="272"/>
        <v>0</v>
      </c>
      <c r="C174" s="8">
        <v>3</v>
      </c>
      <c r="D174" s="48" t="s">
        <v>736</v>
      </c>
      <c r="E174" s="48" t="s">
        <v>737</v>
      </c>
      <c r="F174">
        <v>1</v>
      </c>
      <c r="G174" s="25" t="s">
        <v>736</v>
      </c>
      <c r="H174" s="38" t="s">
        <v>739</v>
      </c>
      <c r="I174" s="48" t="s">
        <v>739</v>
      </c>
      <c r="J174" t="s">
        <v>177</v>
      </c>
      <c r="K174" s="48" t="s">
        <v>181</v>
      </c>
      <c r="L174">
        <v>1</v>
      </c>
      <c r="M174" t="s">
        <v>24</v>
      </c>
      <c r="N174" s="3">
        <f>Q160</f>
        <v>19.71</v>
      </c>
      <c r="O174" s="3"/>
      <c r="P174" s="3">
        <f t="shared" si="273"/>
        <v>1.9710000000000001</v>
      </c>
      <c r="Q174" s="4">
        <f t="shared" si="274"/>
        <v>21.681000000000001</v>
      </c>
      <c r="R174" s="4"/>
      <c r="S174">
        <f t="shared" si="275"/>
        <v>6</v>
      </c>
      <c r="T174">
        <f t="shared" si="277"/>
        <v>0</v>
      </c>
      <c r="U174" s="90">
        <f t="shared" si="276"/>
        <v>6</v>
      </c>
      <c r="V174" s="29" t="str">
        <f t="shared" si="268"/>
        <v>battery PCB</v>
      </c>
      <c r="W174" s="29" t="str">
        <f t="shared" si="269"/>
        <v>battery PCB</v>
      </c>
      <c r="X174" s="29" t="str">
        <f t="shared" si="270"/>
        <v>IML</v>
      </c>
      <c r="Y174" s="30" t="str">
        <f t="shared" si="271"/>
        <v>BAT PCB</v>
      </c>
      <c r="Z174" t="s">
        <v>143</v>
      </c>
    </row>
    <row r="175" spans="1:27" x14ac:dyDescent="0.2">
      <c r="A175" s="152"/>
      <c r="B175" s="150">
        <f t="shared" si="272"/>
        <v>0</v>
      </c>
      <c r="C175" s="8">
        <v>4</v>
      </c>
      <c r="D175" s="29" t="s">
        <v>172</v>
      </c>
      <c r="E175" s="48" t="s">
        <v>737</v>
      </c>
      <c r="F175">
        <v>1</v>
      </c>
      <c r="G175" s="8" t="s">
        <v>387</v>
      </c>
      <c r="H175" t="s">
        <v>384</v>
      </c>
      <c r="I175" s="48" t="s">
        <v>486</v>
      </c>
      <c r="J175" t="s">
        <v>177</v>
      </c>
      <c r="K175" t="s">
        <v>142</v>
      </c>
      <c r="L175">
        <v>1</v>
      </c>
      <c r="M175" t="s">
        <v>24</v>
      </c>
      <c r="N175" s="3">
        <v>2.5</v>
      </c>
      <c r="O175" s="3"/>
      <c r="P175" s="3">
        <f t="shared" si="273"/>
        <v>0.25</v>
      </c>
      <c r="Q175" s="4">
        <f t="shared" si="274"/>
        <v>2.75</v>
      </c>
      <c r="R175" s="4"/>
      <c r="S175">
        <f t="shared" si="275"/>
        <v>6</v>
      </c>
      <c r="T175">
        <f t="shared" si="277"/>
        <v>0</v>
      </c>
      <c r="U175" s="90">
        <f t="shared" si="276"/>
        <v>6</v>
      </c>
      <c r="V175" s="29" t="str">
        <f t="shared" si="268"/>
        <v>indicator LED</v>
      </c>
      <c r="W175" s="29" t="str">
        <f t="shared" si="269"/>
        <v>high brightness RED LED (30mA) pg 583</v>
      </c>
      <c r="X175" s="29" t="str">
        <f t="shared" si="270"/>
        <v>DigiKey</v>
      </c>
      <c r="Y175" s="30" t="str">
        <f t="shared" si="271"/>
        <v>XLM2MR12W</v>
      </c>
      <c r="Z175" t="s">
        <v>143</v>
      </c>
    </row>
    <row r="176" spans="1:27" x14ac:dyDescent="0.2">
      <c r="A176" s="152"/>
      <c r="B176" s="150">
        <f t="shared" si="272"/>
        <v>0</v>
      </c>
      <c r="C176" s="8">
        <v>5</v>
      </c>
      <c r="D176" s="29" t="s">
        <v>171</v>
      </c>
      <c r="E176" s="48" t="s">
        <v>737</v>
      </c>
      <c r="F176">
        <v>1</v>
      </c>
      <c r="G176" s="30"/>
      <c r="H176" s="29"/>
      <c r="I176" s="29"/>
      <c r="L176">
        <v>1</v>
      </c>
      <c r="M176" t="s">
        <v>24</v>
      </c>
      <c r="N176" s="3"/>
      <c r="O176" s="3"/>
      <c r="P176" s="3">
        <f t="shared" si="273"/>
        <v>0</v>
      </c>
      <c r="Q176" s="4">
        <f t="shared" si="274"/>
        <v>0</v>
      </c>
      <c r="R176" s="4"/>
      <c r="S176">
        <f t="shared" si="275"/>
        <v>6</v>
      </c>
      <c r="T176">
        <f t="shared" si="277"/>
        <v>0</v>
      </c>
      <c r="U176" s="90">
        <f t="shared" si="276"/>
        <v>6</v>
      </c>
      <c r="V176" s="29">
        <f t="shared" si="268"/>
        <v>0</v>
      </c>
      <c r="W176" s="29">
        <f t="shared" si="269"/>
        <v>0</v>
      </c>
      <c r="X176" s="29">
        <f t="shared" si="270"/>
        <v>0</v>
      </c>
      <c r="Y176" s="30">
        <f t="shared" si="271"/>
        <v>0</v>
      </c>
      <c r="Z176" t="s">
        <v>143</v>
      </c>
    </row>
    <row r="177" spans="1:27" x14ac:dyDescent="0.2">
      <c r="A177" s="152"/>
      <c r="B177" s="150">
        <f t="shared" si="272"/>
        <v>0</v>
      </c>
      <c r="C177" s="8">
        <v>6</v>
      </c>
      <c r="D177" t="s">
        <v>169</v>
      </c>
      <c r="E177" s="48" t="s">
        <v>737</v>
      </c>
      <c r="F177">
        <v>1</v>
      </c>
      <c r="G177" s="8"/>
      <c r="L177">
        <v>1</v>
      </c>
      <c r="M177" t="s">
        <v>24</v>
      </c>
      <c r="N177" s="3"/>
      <c r="O177" s="3"/>
      <c r="P177" s="3">
        <f t="shared" si="273"/>
        <v>0</v>
      </c>
      <c r="Q177" s="4">
        <f t="shared" si="274"/>
        <v>0</v>
      </c>
      <c r="R177" s="4"/>
      <c r="S177">
        <f t="shared" si="275"/>
        <v>6</v>
      </c>
      <c r="T177">
        <f t="shared" si="277"/>
        <v>0</v>
      </c>
      <c r="U177" s="90">
        <f t="shared" si="276"/>
        <v>6</v>
      </c>
      <c r="V177" s="29">
        <f t="shared" si="268"/>
        <v>0</v>
      </c>
      <c r="W177" s="29">
        <f t="shared" si="269"/>
        <v>0</v>
      </c>
      <c r="X177" s="29">
        <f t="shared" si="270"/>
        <v>0</v>
      </c>
      <c r="Y177" s="30">
        <f t="shared" si="271"/>
        <v>0</v>
      </c>
      <c r="Z177" t="s">
        <v>143</v>
      </c>
      <c r="AA177" s="40"/>
    </row>
    <row r="178" spans="1:27" x14ac:dyDescent="0.2">
      <c r="A178" s="152">
        <v>50</v>
      </c>
      <c r="B178" s="150">
        <f t="shared" si="272"/>
        <v>0</v>
      </c>
      <c r="C178" s="8">
        <v>7</v>
      </c>
      <c r="D178" t="s">
        <v>174</v>
      </c>
      <c r="E178" s="48" t="s">
        <v>737</v>
      </c>
      <c r="F178">
        <v>6</v>
      </c>
      <c r="G178" s="40"/>
      <c r="L178">
        <v>1</v>
      </c>
      <c r="M178" t="s">
        <v>24</v>
      </c>
      <c r="N178" s="3"/>
      <c r="O178" s="3"/>
      <c r="P178" s="3">
        <f t="shared" si="273"/>
        <v>0</v>
      </c>
      <c r="Q178" s="4">
        <f t="shared" si="274"/>
        <v>0</v>
      </c>
      <c r="R178" s="4"/>
      <c r="S178">
        <f t="shared" si="275"/>
        <v>36</v>
      </c>
      <c r="T178">
        <f t="shared" si="277"/>
        <v>50</v>
      </c>
      <c r="U178" s="90">
        <f t="shared" si="276"/>
        <v>0</v>
      </c>
      <c r="V178" s="29">
        <f t="shared" si="268"/>
        <v>0</v>
      </c>
      <c r="W178" s="29">
        <f t="shared" si="269"/>
        <v>0</v>
      </c>
      <c r="X178" s="29">
        <f t="shared" si="270"/>
        <v>0</v>
      </c>
      <c r="Y178" s="30">
        <f t="shared" si="271"/>
        <v>0</v>
      </c>
      <c r="Z178" t="s">
        <v>143</v>
      </c>
      <c r="AA178" s="40"/>
    </row>
    <row r="179" spans="1:27" x14ac:dyDescent="0.2">
      <c r="A179" s="152">
        <v>50</v>
      </c>
      <c r="B179" s="150">
        <f t="shared" si="272"/>
        <v>0</v>
      </c>
      <c r="C179" s="8">
        <v>8</v>
      </c>
      <c r="D179" s="48" t="s">
        <v>487</v>
      </c>
      <c r="E179" s="48" t="s">
        <v>737</v>
      </c>
      <c r="F179">
        <v>7</v>
      </c>
      <c r="G179" s="40"/>
      <c r="L179">
        <v>1</v>
      </c>
      <c r="M179" t="s">
        <v>24</v>
      </c>
      <c r="N179" s="3"/>
      <c r="O179" s="3"/>
      <c r="P179" s="3">
        <f t="shared" si="273"/>
        <v>0</v>
      </c>
      <c r="Q179" s="4">
        <f t="shared" si="274"/>
        <v>0</v>
      </c>
      <c r="R179" s="4"/>
      <c r="S179">
        <f t="shared" si="275"/>
        <v>42</v>
      </c>
      <c r="T179">
        <f t="shared" si="277"/>
        <v>50</v>
      </c>
      <c r="U179" s="90">
        <f t="shared" si="276"/>
        <v>0</v>
      </c>
      <c r="V179" s="29">
        <f t="shared" si="268"/>
        <v>0</v>
      </c>
      <c r="W179" s="29">
        <f t="shared" si="269"/>
        <v>0</v>
      </c>
      <c r="X179" s="29">
        <f t="shared" si="270"/>
        <v>0</v>
      </c>
      <c r="Y179" s="30">
        <f t="shared" si="271"/>
        <v>0</v>
      </c>
      <c r="Z179" t="s">
        <v>143</v>
      </c>
      <c r="AA179" s="40"/>
    </row>
    <row r="180" spans="1:27" x14ac:dyDescent="0.2">
      <c r="A180" s="152"/>
      <c r="B180" s="153"/>
      <c r="E180" s="48" t="s">
        <v>737</v>
      </c>
      <c r="F180">
        <v>1</v>
      </c>
      <c r="G180" s="8"/>
      <c r="I180" s="35" t="s">
        <v>158</v>
      </c>
      <c r="M180" t="s">
        <v>28</v>
      </c>
      <c r="N180" s="3"/>
      <c r="O180" s="3"/>
      <c r="P180" s="3">
        <v>0</v>
      </c>
      <c r="Q180" s="4">
        <f t="shared" si="274"/>
        <v>0</v>
      </c>
      <c r="R180" s="4"/>
      <c r="Y180" s="8"/>
      <c r="Z180" s="40"/>
      <c r="AA180" s="40"/>
    </row>
    <row r="181" spans="1:27" x14ac:dyDescent="0.2">
      <c r="A181" s="152"/>
      <c r="B181" s="153"/>
      <c r="E181" s="48" t="s">
        <v>737</v>
      </c>
      <c r="F181" s="9">
        <v>1</v>
      </c>
      <c r="G181" s="10"/>
      <c r="H181" s="9"/>
      <c r="I181" s="32" t="s">
        <v>43</v>
      </c>
      <c r="J181" s="9"/>
      <c r="K181" s="9"/>
      <c r="L181" s="9"/>
      <c r="M181" s="9" t="s">
        <v>28</v>
      </c>
      <c r="N181" s="11"/>
      <c r="O181" s="11"/>
      <c r="P181" s="11">
        <v>0</v>
      </c>
      <c r="Q181" s="12">
        <f t="shared" si="274"/>
        <v>0</v>
      </c>
      <c r="R181" s="4"/>
      <c r="Y181" s="8"/>
      <c r="Z181" s="40"/>
      <c r="AA181" s="40"/>
    </row>
    <row r="182" spans="1:27" x14ac:dyDescent="0.2">
      <c r="A182" s="152"/>
      <c r="B182" s="153"/>
      <c r="E182" s="48" t="s">
        <v>737</v>
      </c>
      <c r="G182" s="8"/>
      <c r="I182" s="35" t="s">
        <v>180</v>
      </c>
      <c r="N182" s="3"/>
      <c r="O182" s="3"/>
      <c r="P182" s="3"/>
      <c r="Q182" s="22">
        <f>SUM(Q168:Q181)</f>
        <v>172.43100000000001</v>
      </c>
      <c r="R182" s="22"/>
      <c r="Y182" s="8"/>
      <c r="Z182" s="40"/>
      <c r="AA182" s="40"/>
    </row>
    <row r="183" spans="1:27" x14ac:dyDescent="0.2">
      <c r="A183" s="29"/>
      <c r="B183" s="102"/>
      <c r="G183" s="8"/>
      <c r="I183" s="35" t="s">
        <v>44</v>
      </c>
      <c r="N183" s="3"/>
      <c r="O183" s="3"/>
      <c r="P183" s="3"/>
      <c r="Q183" s="22">
        <v>0</v>
      </c>
      <c r="R183" s="22"/>
      <c r="Y183" s="8"/>
      <c r="Z183" s="40"/>
      <c r="AA183" s="40"/>
    </row>
    <row r="184" spans="1:27" x14ac:dyDescent="0.2">
      <c r="A184" s="29"/>
      <c r="B184" s="102"/>
      <c r="D184" t="s">
        <v>198</v>
      </c>
      <c r="G184" s="8"/>
      <c r="I184" t="s">
        <v>45</v>
      </c>
      <c r="N184" s="3"/>
      <c r="O184" s="3"/>
      <c r="P184" s="3"/>
      <c r="Q184" s="13">
        <v>85</v>
      </c>
      <c r="R184" s="13"/>
      <c r="Y184" s="8"/>
      <c r="Z184" s="40"/>
      <c r="AA184" s="40"/>
    </row>
    <row r="185" spans="1:27" x14ac:dyDescent="0.2">
      <c r="A185" s="29"/>
      <c r="B185" s="102"/>
      <c r="F185">
        <v>5</v>
      </c>
      <c r="G185" s="8"/>
      <c r="I185" t="s">
        <v>46</v>
      </c>
      <c r="N185" s="3"/>
      <c r="O185" s="3"/>
      <c r="P185" s="3"/>
      <c r="R185" s="4"/>
      <c r="Y185" s="8"/>
      <c r="Z185" s="40"/>
      <c r="AA185" s="40"/>
    </row>
    <row r="186" spans="1:27" x14ac:dyDescent="0.2">
      <c r="A186" s="29"/>
      <c r="B186" s="102"/>
      <c r="G186" s="8"/>
      <c r="I186" s="35" t="s">
        <v>47</v>
      </c>
      <c r="N186" s="3"/>
      <c r="O186" s="3"/>
      <c r="P186" s="3"/>
      <c r="Q186" s="22">
        <f>Q184*F185</f>
        <v>425</v>
      </c>
      <c r="R186" s="4"/>
      <c r="Y186" s="8"/>
      <c r="Z186" s="40"/>
      <c r="AA186" s="40"/>
    </row>
    <row r="187" spans="1:27" x14ac:dyDescent="0.2">
      <c r="A187" s="29"/>
      <c r="B187" s="102"/>
      <c r="G187" s="8"/>
      <c r="I187" s="35"/>
      <c r="N187" s="3"/>
      <c r="O187" s="3"/>
      <c r="P187" s="3"/>
      <c r="Q187" s="45"/>
      <c r="R187" s="22"/>
      <c r="Y187" s="8"/>
      <c r="Z187" s="40"/>
      <c r="AA187" s="40"/>
    </row>
    <row r="188" spans="1:27" x14ac:dyDescent="0.2">
      <c r="A188" s="29"/>
      <c r="B188" s="102"/>
    </row>
    <row r="189" spans="1:27" x14ac:dyDescent="0.2">
      <c r="A189" s="29"/>
      <c r="B189" s="102"/>
    </row>
    <row r="198" spans="1:2" x14ac:dyDescent="0.2">
      <c r="A198" s="6"/>
      <c r="B198" s="6"/>
    </row>
    <row r="199" spans="1:2" x14ac:dyDescent="0.2">
      <c r="A199" s="29"/>
      <c r="B199" s="102"/>
    </row>
    <row r="200" spans="1:2" x14ac:dyDescent="0.2">
      <c r="A200" s="29"/>
      <c r="B200" s="102"/>
    </row>
    <row r="201" spans="1:2" x14ac:dyDescent="0.2">
      <c r="A201" s="29"/>
      <c r="B201" s="102"/>
    </row>
    <row r="202" spans="1:2" x14ac:dyDescent="0.2">
      <c r="A202" s="29"/>
      <c r="B202" s="102"/>
    </row>
    <row r="203" spans="1:2" x14ac:dyDescent="0.2">
      <c r="A203" s="29"/>
      <c r="B203" s="102"/>
    </row>
    <row r="204" spans="1:2" x14ac:dyDescent="0.2">
      <c r="A204" s="29"/>
      <c r="B204" s="102"/>
    </row>
    <row r="205" spans="1:2" x14ac:dyDescent="0.2">
      <c r="A205" s="29"/>
      <c r="B205" s="102"/>
    </row>
    <row r="206" spans="1:2" x14ac:dyDescent="0.2">
      <c r="A206" s="29"/>
      <c r="B206" s="102"/>
    </row>
    <row r="207" spans="1:2" x14ac:dyDescent="0.2">
      <c r="A207" s="29"/>
      <c r="B207" s="102"/>
    </row>
    <row r="208" spans="1:2" x14ac:dyDescent="0.2">
      <c r="A208" s="29"/>
      <c r="B208" s="102"/>
    </row>
    <row r="209" spans="1:2" x14ac:dyDescent="0.2">
      <c r="A209" s="29"/>
      <c r="B209" s="102"/>
    </row>
    <row r="210" spans="1:2" x14ac:dyDescent="0.2">
      <c r="A210" s="29"/>
      <c r="B210" s="102"/>
    </row>
    <row r="211" spans="1:2" x14ac:dyDescent="0.2">
      <c r="A211" s="29"/>
      <c r="B211" s="102"/>
    </row>
    <row r="212" spans="1:2" x14ac:dyDescent="0.2">
      <c r="A212" s="29"/>
      <c r="B212" s="102"/>
    </row>
    <row r="213" spans="1:2" x14ac:dyDescent="0.2">
      <c r="A213" s="29"/>
      <c r="B213" s="102"/>
    </row>
    <row r="214" spans="1:2" x14ac:dyDescent="0.2">
      <c r="A214" s="29"/>
      <c r="B214" s="102"/>
    </row>
    <row r="215" spans="1:2" x14ac:dyDescent="0.2">
      <c r="A215" s="29"/>
      <c r="B215" s="102"/>
    </row>
    <row r="216" spans="1:2" x14ac:dyDescent="0.2">
      <c r="A216" s="29"/>
      <c r="B216" s="102"/>
    </row>
    <row r="224" spans="1:2" x14ac:dyDescent="0.2">
      <c r="A224" s="6"/>
      <c r="B224" s="6"/>
    </row>
    <row r="225" spans="1:2" x14ac:dyDescent="0.2">
      <c r="A225" s="29"/>
      <c r="B225" s="102"/>
    </row>
    <row r="226" spans="1:2" x14ac:dyDescent="0.2">
      <c r="A226" s="29"/>
      <c r="B226" s="102"/>
    </row>
    <row r="227" spans="1:2" x14ac:dyDescent="0.2">
      <c r="A227" s="29"/>
      <c r="B227" s="102"/>
    </row>
    <row r="228" spans="1:2" x14ac:dyDescent="0.2">
      <c r="A228" s="29"/>
      <c r="B228" s="102"/>
    </row>
    <row r="229" spans="1:2" x14ac:dyDescent="0.2">
      <c r="A229" s="29"/>
      <c r="B229" s="102"/>
    </row>
    <row r="230" spans="1:2" x14ac:dyDescent="0.2">
      <c r="A230" s="29"/>
      <c r="B230" s="102"/>
    </row>
    <row r="231" spans="1:2" x14ac:dyDescent="0.2">
      <c r="A231" s="29"/>
      <c r="B231" s="102"/>
    </row>
    <row r="232" spans="1:2" x14ac:dyDescent="0.2">
      <c r="A232" s="29"/>
      <c r="B232" s="102"/>
    </row>
    <row r="233" spans="1:2" x14ac:dyDescent="0.2">
      <c r="A233" s="29"/>
      <c r="B233" s="102"/>
    </row>
    <row r="234" spans="1:2" x14ac:dyDescent="0.2">
      <c r="A234" s="29"/>
      <c r="B234" s="102"/>
    </row>
    <row r="235" spans="1:2" x14ac:dyDescent="0.2">
      <c r="A235" s="29"/>
      <c r="B235" s="102"/>
    </row>
    <row r="236" spans="1:2" x14ac:dyDescent="0.2">
      <c r="A236" s="29"/>
      <c r="B236" s="102"/>
    </row>
    <row r="237" spans="1:2" x14ac:dyDescent="0.2">
      <c r="A237" s="29"/>
      <c r="B237" s="102"/>
    </row>
    <row r="238" spans="1:2" x14ac:dyDescent="0.2">
      <c r="A238" s="29"/>
      <c r="B238" s="102"/>
    </row>
    <row r="247" spans="1:2" x14ac:dyDescent="0.2">
      <c r="A247" s="6"/>
      <c r="B247" s="6"/>
    </row>
    <row r="248" spans="1:2" x14ac:dyDescent="0.2">
      <c r="A248" s="29"/>
      <c r="B248" s="102"/>
    </row>
    <row r="249" spans="1:2" x14ac:dyDescent="0.2">
      <c r="A249" s="29"/>
      <c r="B249" s="102"/>
    </row>
    <row r="250" spans="1:2" x14ac:dyDescent="0.2">
      <c r="A250" s="29"/>
      <c r="B250" s="102"/>
    </row>
    <row r="251" spans="1:2" x14ac:dyDescent="0.2">
      <c r="A251" s="29"/>
      <c r="B251" s="102"/>
    </row>
    <row r="252" spans="1:2" x14ac:dyDescent="0.2">
      <c r="A252" s="29"/>
      <c r="B252" s="102"/>
    </row>
    <row r="253" spans="1:2" x14ac:dyDescent="0.2">
      <c r="A253" s="29"/>
      <c r="B253" s="102"/>
    </row>
    <row r="254" spans="1:2" x14ac:dyDescent="0.2">
      <c r="A254" s="29"/>
      <c r="B254" s="102"/>
    </row>
    <row r="255" spans="1:2" x14ac:dyDescent="0.2">
      <c r="A255" s="29"/>
      <c r="B255" s="102"/>
    </row>
    <row r="256" spans="1:2" x14ac:dyDescent="0.2">
      <c r="A256" s="29"/>
      <c r="B256" s="102"/>
    </row>
    <row r="257" spans="1:2" x14ac:dyDescent="0.2">
      <c r="A257" s="29"/>
      <c r="B257" s="102"/>
    </row>
    <row r="265" spans="1:2" x14ac:dyDescent="0.2">
      <c r="A265" s="6"/>
      <c r="B265" s="6"/>
    </row>
    <row r="266" spans="1:2" x14ac:dyDescent="0.2">
      <c r="A266" s="29"/>
      <c r="B266" s="102"/>
    </row>
    <row r="267" spans="1:2" x14ac:dyDescent="0.2">
      <c r="A267" s="29"/>
      <c r="B267" s="102"/>
    </row>
    <row r="275" spans="1:2" x14ac:dyDescent="0.2">
      <c r="A275" s="6"/>
      <c r="B275" s="6"/>
    </row>
    <row r="276" spans="1:2" x14ac:dyDescent="0.2">
      <c r="A276" s="29"/>
      <c r="B276" s="102"/>
    </row>
    <row r="277" spans="1:2" x14ac:dyDescent="0.2">
      <c r="A277" s="29"/>
      <c r="B277" s="102"/>
    </row>
    <row r="278" spans="1:2" x14ac:dyDescent="0.2">
      <c r="A278" s="29"/>
      <c r="B278" s="102"/>
    </row>
    <row r="286" spans="1:2" x14ac:dyDescent="0.2">
      <c r="A286" s="6"/>
      <c r="B286" s="6"/>
    </row>
    <row r="287" spans="1:2" x14ac:dyDescent="0.2">
      <c r="B287" s="102"/>
    </row>
    <row r="288" spans="1:2" x14ac:dyDescent="0.2">
      <c r="B288" s="102"/>
    </row>
    <row r="289" spans="2:2" x14ac:dyDescent="0.2">
      <c r="B289" s="102"/>
    </row>
    <row r="290" spans="2:2" x14ac:dyDescent="0.2">
      <c r="B290" s="102"/>
    </row>
    <row r="291" spans="2:2" x14ac:dyDescent="0.2">
      <c r="B291" s="102"/>
    </row>
    <row r="292" spans="2:2" x14ac:dyDescent="0.2">
      <c r="B292" s="102"/>
    </row>
    <row r="293" spans="2:2" x14ac:dyDescent="0.2">
      <c r="B293" s="102"/>
    </row>
  </sheetData>
  <mergeCells count="4">
    <mergeCell ref="B60:G60"/>
    <mergeCell ref="B62:G62"/>
    <mergeCell ref="B63:G63"/>
    <mergeCell ref="B61:G61"/>
  </mergeCells>
  <phoneticPr fontId="0" type="noConversion"/>
  <hyperlinks>
    <hyperlink ref="G11" r:id="rId1" display="https://www.digikey.ca/product-detail/en/nxp-usa-inc/MPXV7007GC6U/MPXV7007GC6U-ND/1168440" xr:uid="{C8BF21E4-50DA-418F-A476-4D143E12A574}"/>
  </hyperlinks>
  <pageMargins left="0.75" right="0.75" top="1" bottom="1" header="0.5" footer="0.5"/>
  <pageSetup scale="75" fitToHeight="0" orientation="landscape"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AD96"/>
  <sheetViews>
    <sheetView workbookViewId="0">
      <selection activeCell="B11" sqref="B11"/>
    </sheetView>
  </sheetViews>
  <sheetFormatPr defaultRowHeight="12.75" x14ac:dyDescent="0.2"/>
  <cols>
    <col min="2" max="2" width="13.140625" bestFit="1" customWidth="1"/>
  </cols>
  <sheetData>
    <row r="2" spans="1:30" x14ac:dyDescent="0.2">
      <c r="B2" s="164"/>
      <c r="C2" s="165"/>
      <c r="D2" s="165"/>
      <c r="E2" s="165"/>
      <c r="F2" s="165"/>
      <c r="G2" s="165"/>
      <c r="H2" s="165"/>
      <c r="I2" s="165"/>
      <c r="J2" s="165"/>
      <c r="K2" s="165"/>
      <c r="L2" s="165"/>
      <c r="M2" s="165"/>
      <c r="N2" s="166"/>
    </row>
    <row r="3" spans="1:30" x14ac:dyDescent="0.2">
      <c r="B3" s="167" t="s">
        <v>521</v>
      </c>
      <c r="C3" s="168" t="s">
        <v>518</v>
      </c>
      <c r="D3" s="168"/>
      <c r="E3" s="168"/>
      <c r="F3" s="168"/>
      <c r="G3" s="169"/>
      <c r="H3" s="169" t="s">
        <v>519</v>
      </c>
      <c r="I3" s="169"/>
      <c r="J3" s="169"/>
      <c r="K3" s="169"/>
      <c r="L3" s="169"/>
      <c r="M3" s="169"/>
      <c r="N3" s="170"/>
    </row>
    <row r="4" spans="1:30" x14ac:dyDescent="0.2">
      <c r="B4" s="171"/>
      <c r="C4" s="169"/>
      <c r="D4" s="169"/>
      <c r="E4" s="169"/>
      <c r="F4" s="169"/>
      <c r="G4" s="169"/>
      <c r="H4" s="169" t="s">
        <v>520</v>
      </c>
      <c r="I4" s="169"/>
      <c r="J4" s="169"/>
      <c r="K4" s="169"/>
      <c r="L4" s="169"/>
      <c r="M4" s="169"/>
      <c r="N4" s="170"/>
    </row>
    <row r="5" spans="1:30" x14ac:dyDescent="0.2">
      <c r="B5" s="171"/>
      <c r="C5" s="169"/>
      <c r="D5" s="169"/>
      <c r="E5" s="169"/>
      <c r="F5" s="169"/>
      <c r="G5" s="169"/>
      <c r="H5" s="205" t="s">
        <v>572</v>
      </c>
      <c r="I5" s="169"/>
      <c r="J5" s="169"/>
      <c r="K5" s="169"/>
      <c r="L5" s="169"/>
      <c r="M5" s="169"/>
      <c r="N5" s="170"/>
    </row>
    <row r="6" spans="1:30" x14ac:dyDescent="0.2">
      <c r="B6" s="171"/>
      <c r="C6" s="169"/>
      <c r="D6" s="169"/>
      <c r="E6" s="169"/>
      <c r="F6" s="169"/>
      <c r="G6" s="169"/>
      <c r="H6" s="205" t="s">
        <v>573</v>
      </c>
      <c r="I6" s="169"/>
      <c r="J6" s="169"/>
      <c r="K6" s="169"/>
      <c r="L6" s="169"/>
      <c r="M6" s="169"/>
      <c r="N6" s="170"/>
    </row>
    <row r="7" spans="1:30" x14ac:dyDescent="0.2">
      <c r="B7" s="172"/>
      <c r="C7" s="173"/>
      <c r="D7" s="173"/>
      <c r="E7" s="173"/>
      <c r="F7" s="173"/>
      <c r="G7" s="173"/>
      <c r="H7" s="200" t="s">
        <v>574</v>
      </c>
      <c r="I7" s="173"/>
      <c r="J7" s="173"/>
      <c r="K7" s="173"/>
      <c r="L7" s="173"/>
      <c r="M7" s="173"/>
      <c r="N7" s="174"/>
    </row>
    <row r="8" spans="1:30" x14ac:dyDescent="0.2">
      <c r="B8" s="117"/>
    </row>
    <row r="10" spans="1:30" x14ac:dyDescent="0.2">
      <c r="A10" s="201" t="s">
        <v>403</v>
      </c>
      <c r="B10" s="202" t="s">
        <v>570</v>
      </c>
      <c r="C10" s="84">
        <f>G10</f>
        <v>11.799999999999999</v>
      </c>
      <c r="D10" s="2">
        <v>11.5</v>
      </c>
      <c r="E10" s="9">
        <f>D10+0.1</f>
        <v>11.6</v>
      </c>
      <c r="F10" s="9">
        <f t="shared" ref="F10" si="0">E10+0.1</f>
        <v>11.7</v>
      </c>
      <c r="G10" s="84">
        <f t="shared" ref="G10" si="1">F10+0.1</f>
        <v>11.799999999999999</v>
      </c>
      <c r="H10" s="9">
        <f t="shared" ref="H10" si="2">G10+0.1</f>
        <v>11.899999999999999</v>
      </c>
      <c r="I10" s="9">
        <f t="shared" ref="I10" si="3">H10+0.1</f>
        <v>11.999999999999998</v>
      </c>
      <c r="J10" s="9">
        <f t="shared" ref="J10" si="4">I10+0.1</f>
        <v>12.099999999999998</v>
      </c>
      <c r="K10" s="9">
        <f t="shared" ref="K10" si="5">J10+0.1</f>
        <v>12.199999999999998</v>
      </c>
      <c r="L10" s="9">
        <f t="shared" ref="L10" si="6">K10+0.1</f>
        <v>12.299999999999997</v>
      </c>
      <c r="M10" s="9">
        <f t="shared" ref="M10" si="7">L10+0.1</f>
        <v>12.399999999999997</v>
      </c>
      <c r="N10" s="9">
        <f t="shared" ref="N10" si="8">M10+0.1</f>
        <v>12.499999999999996</v>
      </c>
      <c r="O10" s="9">
        <f t="shared" ref="O10" si="9">N10+0.1</f>
        <v>12.599999999999996</v>
      </c>
      <c r="P10" s="9">
        <f t="shared" ref="P10" si="10">O10+0.1</f>
        <v>12.699999999999996</v>
      </c>
      <c r="Q10" s="9">
        <f t="shared" ref="Q10" si="11">P10+0.1</f>
        <v>12.799999999999995</v>
      </c>
      <c r="R10" s="9">
        <f t="shared" ref="R10" si="12">Q10+0.1</f>
        <v>12.899999999999995</v>
      </c>
      <c r="S10" s="9">
        <f t="shared" ref="S10" si="13">R10+0.1</f>
        <v>12.999999999999995</v>
      </c>
      <c r="T10" s="9">
        <f t="shared" ref="T10" si="14">S10+0.1</f>
        <v>13.099999999999994</v>
      </c>
      <c r="U10" s="9">
        <f t="shared" ref="U10" si="15">T10+0.1</f>
        <v>13.199999999999994</v>
      </c>
      <c r="V10" s="9">
        <f t="shared" ref="V10" si="16">U10+0.1</f>
        <v>13.299999999999994</v>
      </c>
      <c r="W10" s="9">
        <f t="shared" ref="W10" si="17">V10+0.1</f>
        <v>13.399999999999993</v>
      </c>
      <c r="X10" s="9">
        <f t="shared" ref="X10" si="18">W10+0.1</f>
        <v>13.499999999999993</v>
      </c>
      <c r="Y10" s="9">
        <f t="shared" ref="Y10" si="19">X10+0.1</f>
        <v>13.599999999999993</v>
      </c>
      <c r="Z10" s="9">
        <f t="shared" ref="Z10" si="20">Y10+0.1</f>
        <v>13.699999999999992</v>
      </c>
    </row>
    <row r="11" spans="1:30" x14ac:dyDescent="0.2">
      <c r="A11" s="110" t="s">
        <v>400</v>
      </c>
      <c r="B11" s="92">
        <v>117000</v>
      </c>
      <c r="C11" s="114">
        <f>C10</f>
        <v>11.799999999999999</v>
      </c>
      <c r="D11" s="114">
        <f t="shared" ref="D11:Z11" si="21">D10</f>
        <v>11.5</v>
      </c>
      <c r="E11" s="116">
        <f t="shared" si="21"/>
        <v>11.6</v>
      </c>
      <c r="F11" s="116">
        <f t="shared" si="21"/>
        <v>11.7</v>
      </c>
      <c r="G11" s="116">
        <f t="shared" si="21"/>
        <v>11.799999999999999</v>
      </c>
      <c r="H11" s="116">
        <f t="shared" si="21"/>
        <v>11.899999999999999</v>
      </c>
      <c r="I11" s="116">
        <f t="shared" si="21"/>
        <v>11.999999999999998</v>
      </c>
      <c r="J11" s="116">
        <f t="shared" si="21"/>
        <v>12.099999999999998</v>
      </c>
      <c r="K11" s="116">
        <f t="shared" si="21"/>
        <v>12.199999999999998</v>
      </c>
      <c r="L11" s="116">
        <f t="shared" si="21"/>
        <v>12.299999999999997</v>
      </c>
      <c r="M11" s="116">
        <f t="shared" si="21"/>
        <v>12.399999999999997</v>
      </c>
      <c r="N11" s="116">
        <f t="shared" si="21"/>
        <v>12.499999999999996</v>
      </c>
      <c r="O11" s="116">
        <f t="shared" si="21"/>
        <v>12.599999999999996</v>
      </c>
      <c r="P11" s="116">
        <f t="shared" si="21"/>
        <v>12.699999999999996</v>
      </c>
      <c r="Q11" s="116">
        <f t="shared" si="21"/>
        <v>12.799999999999995</v>
      </c>
      <c r="R11" s="116">
        <f t="shared" si="21"/>
        <v>12.899999999999995</v>
      </c>
      <c r="S11" s="116">
        <f t="shared" si="21"/>
        <v>12.999999999999995</v>
      </c>
      <c r="T11" s="116">
        <f t="shared" si="21"/>
        <v>13.099999999999994</v>
      </c>
      <c r="U11" s="116">
        <f t="shared" si="21"/>
        <v>13.199999999999994</v>
      </c>
      <c r="V11" s="116">
        <f t="shared" si="21"/>
        <v>13.299999999999994</v>
      </c>
      <c r="W11" s="116">
        <f t="shared" si="21"/>
        <v>13.399999999999993</v>
      </c>
      <c r="X11" s="116">
        <f t="shared" si="21"/>
        <v>13.499999999999993</v>
      </c>
      <c r="Y11" s="116">
        <f t="shared" si="21"/>
        <v>13.599999999999993</v>
      </c>
      <c r="Z11" s="116">
        <f t="shared" si="21"/>
        <v>13.699999999999992</v>
      </c>
      <c r="AA11" s="48"/>
      <c r="AB11" s="48"/>
      <c r="AC11" s="48"/>
      <c r="AD11" s="48"/>
    </row>
    <row r="12" spans="1:30" x14ac:dyDescent="0.2">
      <c r="A12" s="110" t="s">
        <v>401</v>
      </c>
      <c r="B12" s="91">
        <v>1000000</v>
      </c>
      <c r="C12" s="114">
        <f>C10*$B$12/($B$12+$B$11)</f>
        <v>10.564010743061772</v>
      </c>
      <c r="D12" s="114">
        <f>D10*$B$12/($B$12+$B$11)</f>
        <v>10.295434198746642</v>
      </c>
      <c r="E12" s="116">
        <f>E10*$B$12/($B$12+$B$11)</f>
        <v>10.384959713518352</v>
      </c>
      <c r="F12" s="116">
        <f t="shared" ref="F12:Z12" si="22">F10*$B$12/($B$12+$B$11)</f>
        <v>10.474485228290062</v>
      </c>
      <c r="G12" s="116">
        <f t="shared" si="22"/>
        <v>10.564010743061772</v>
      </c>
      <c r="H12" s="116">
        <f t="shared" si="22"/>
        <v>10.653536257833482</v>
      </c>
      <c r="I12" s="116">
        <f t="shared" si="22"/>
        <v>10.743061772605191</v>
      </c>
      <c r="J12" s="116">
        <f t="shared" si="22"/>
        <v>10.832587287376901</v>
      </c>
      <c r="K12" s="116">
        <f t="shared" si="22"/>
        <v>10.922112802148611</v>
      </c>
      <c r="L12" s="116">
        <f t="shared" si="22"/>
        <v>11.011638316920319</v>
      </c>
      <c r="M12" s="116">
        <f t="shared" si="22"/>
        <v>11.101163831692029</v>
      </c>
      <c r="N12" s="116">
        <f t="shared" si="22"/>
        <v>11.190689346463738</v>
      </c>
      <c r="O12" s="116">
        <f t="shared" si="22"/>
        <v>11.280214861235448</v>
      </c>
      <c r="P12" s="116">
        <f t="shared" si="22"/>
        <v>11.369740376007158</v>
      </c>
      <c r="Q12" s="116">
        <f t="shared" si="22"/>
        <v>11.459265890778868</v>
      </c>
      <c r="R12" s="116">
        <f t="shared" si="22"/>
        <v>11.548791405550578</v>
      </c>
      <c r="S12" s="116">
        <f t="shared" si="22"/>
        <v>11.638316920322287</v>
      </c>
      <c r="T12" s="116">
        <f t="shared" si="22"/>
        <v>11.727842435093997</v>
      </c>
      <c r="U12" s="116">
        <f t="shared" si="22"/>
        <v>11.817367949865707</v>
      </c>
      <c r="V12" s="116">
        <f t="shared" si="22"/>
        <v>11.906893464637417</v>
      </c>
      <c r="W12" s="116">
        <f t="shared" si="22"/>
        <v>11.996418979409125</v>
      </c>
      <c r="X12" s="116">
        <f t="shared" si="22"/>
        <v>12.085944494180834</v>
      </c>
      <c r="Y12" s="116">
        <f t="shared" si="22"/>
        <v>12.175470008952544</v>
      </c>
      <c r="Z12" s="116">
        <f t="shared" si="22"/>
        <v>12.264995523724254</v>
      </c>
    </row>
    <row r="13" spans="1:30" x14ac:dyDescent="0.2">
      <c r="A13" s="139" t="s">
        <v>569</v>
      </c>
      <c r="C13" s="196">
        <f>C11-C12</f>
        <v>1.2359892569382271</v>
      </c>
      <c r="D13" s="195">
        <f>D11-D12</f>
        <v>1.2045658012533575</v>
      </c>
      <c r="E13" s="137">
        <f>E11-E12</f>
        <v>1.2150402864816474</v>
      </c>
      <c r="F13" s="137">
        <f t="shared" ref="F13:Z13" si="23">F11-F12</f>
        <v>1.2255147717099373</v>
      </c>
      <c r="G13" s="196">
        <f t="shared" si="23"/>
        <v>1.2359892569382271</v>
      </c>
      <c r="H13" s="137">
        <f t="shared" si="23"/>
        <v>1.246463742166517</v>
      </c>
      <c r="I13" s="137">
        <f t="shared" si="23"/>
        <v>1.2569382273948069</v>
      </c>
      <c r="J13" s="137">
        <f t="shared" si="23"/>
        <v>1.2674127126230967</v>
      </c>
      <c r="K13" s="137">
        <f t="shared" si="23"/>
        <v>1.2778871978513866</v>
      </c>
      <c r="L13" s="137">
        <f t="shared" si="23"/>
        <v>1.2883616830796782</v>
      </c>
      <c r="M13" s="137">
        <f t="shared" si="23"/>
        <v>1.2988361683079681</v>
      </c>
      <c r="N13" s="137">
        <f t="shared" si="23"/>
        <v>1.309310653536258</v>
      </c>
      <c r="O13" s="137">
        <f t="shared" si="23"/>
        <v>1.3197851387645478</v>
      </c>
      <c r="P13" s="137">
        <f t="shared" si="23"/>
        <v>1.3302596239928377</v>
      </c>
      <c r="Q13" s="137">
        <f t="shared" si="23"/>
        <v>1.3407341092211276</v>
      </c>
      <c r="R13" s="137">
        <f t="shared" si="23"/>
        <v>1.3512085944494174</v>
      </c>
      <c r="S13" s="137">
        <f t="shared" si="23"/>
        <v>1.3616830796777073</v>
      </c>
      <c r="T13" s="137">
        <f t="shared" si="23"/>
        <v>1.3721575649059972</v>
      </c>
      <c r="U13" s="137">
        <f t="shared" si="23"/>
        <v>1.382632050134287</v>
      </c>
      <c r="V13" s="137">
        <f t="shared" si="23"/>
        <v>1.3931065353625769</v>
      </c>
      <c r="W13" s="137">
        <f t="shared" si="23"/>
        <v>1.4035810205908685</v>
      </c>
      <c r="X13" s="137">
        <f t="shared" si="23"/>
        <v>1.4140555058191584</v>
      </c>
      <c r="Y13" s="137">
        <f t="shared" si="23"/>
        <v>1.4245299910474483</v>
      </c>
      <c r="Z13" s="137">
        <f t="shared" si="23"/>
        <v>1.4350044762757381</v>
      </c>
      <c r="AA13" s="112"/>
    </row>
    <row r="16" spans="1:30" x14ac:dyDescent="0.2">
      <c r="A16" s="201" t="s">
        <v>403</v>
      </c>
      <c r="B16" s="203" t="s">
        <v>571</v>
      </c>
      <c r="C16" s="204">
        <f>S16</f>
        <v>12.999999999999995</v>
      </c>
      <c r="D16" s="2">
        <v>11.5</v>
      </c>
      <c r="E16" s="9">
        <f>D16+0.1</f>
        <v>11.6</v>
      </c>
      <c r="F16" s="9">
        <f t="shared" ref="F16" si="24">E16+0.1</f>
        <v>11.7</v>
      </c>
      <c r="G16" s="84">
        <f t="shared" ref="G16" si="25">F16+0.1</f>
        <v>11.799999999999999</v>
      </c>
      <c r="H16" s="9">
        <f t="shared" ref="H16" si="26">G16+0.1</f>
        <v>11.899999999999999</v>
      </c>
      <c r="I16" s="9">
        <f t="shared" ref="I16" si="27">H16+0.1</f>
        <v>11.999999999999998</v>
      </c>
      <c r="J16" s="9">
        <f t="shared" ref="J16" si="28">I16+0.1</f>
        <v>12.099999999999998</v>
      </c>
      <c r="K16" s="9">
        <f t="shared" ref="K16" si="29">J16+0.1</f>
        <v>12.199999999999998</v>
      </c>
      <c r="L16" s="9">
        <f t="shared" ref="L16" si="30">K16+0.1</f>
        <v>12.299999999999997</v>
      </c>
      <c r="M16" s="9">
        <f t="shared" ref="M16" si="31">L16+0.1</f>
        <v>12.399999999999997</v>
      </c>
      <c r="N16" s="9">
        <f t="shared" ref="N16" si="32">M16+0.1</f>
        <v>12.499999999999996</v>
      </c>
      <c r="O16" s="9">
        <f t="shared" ref="O16" si="33">N16+0.1</f>
        <v>12.599999999999996</v>
      </c>
      <c r="P16" s="9">
        <f t="shared" ref="P16" si="34">O16+0.1</f>
        <v>12.699999999999996</v>
      </c>
      <c r="Q16" s="9">
        <f t="shared" ref="Q16" si="35">P16+0.1</f>
        <v>12.799999999999995</v>
      </c>
      <c r="R16" s="9">
        <f t="shared" ref="R16" si="36">Q16+0.1</f>
        <v>12.899999999999995</v>
      </c>
      <c r="S16" s="9">
        <f t="shared" ref="S16" si="37">R16+0.1</f>
        <v>12.999999999999995</v>
      </c>
      <c r="T16" s="9">
        <f t="shared" ref="T16" si="38">S16+0.1</f>
        <v>13.099999999999994</v>
      </c>
      <c r="U16" s="9">
        <f t="shared" ref="U16" si="39">T16+0.1</f>
        <v>13.199999999999994</v>
      </c>
      <c r="V16" s="9">
        <f t="shared" ref="V16" si="40">U16+0.1</f>
        <v>13.299999999999994</v>
      </c>
      <c r="W16" s="9">
        <f t="shared" ref="W16" si="41">V16+0.1</f>
        <v>13.399999999999993</v>
      </c>
      <c r="X16" s="9">
        <f t="shared" ref="X16" si="42">W16+0.1</f>
        <v>13.499999999999993</v>
      </c>
      <c r="Y16" s="9">
        <f t="shared" ref="Y16" si="43">X16+0.1</f>
        <v>13.599999999999993</v>
      </c>
      <c r="Z16" s="9">
        <f t="shared" ref="Z16" si="44">Y16+0.1</f>
        <v>13.699999999999992</v>
      </c>
    </row>
    <row r="17" spans="1:30" x14ac:dyDescent="0.2">
      <c r="A17" s="110" t="s">
        <v>400</v>
      </c>
      <c r="B17" s="198">
        <v>105000</v>
      </c>
      <c r="C17" s="114">
        <f>C16</f>
        <v>12.999999999999995</v>
      </c>
      <c r="D17" s="114">
        <f t="shared" ref="D17" si="45">D16</f>
        <v>11.5</v>
      </c>
      <c r="E17" s="116">
        <f t="shared" ref="E17" si="46">E16</f>
        <v>11.6</v>
      </c>
      <c r="F17" s="116">
        <f t="shared" ref="F17" si="47">F16</f>
        <v>11.7</v>
      </c>
      <c r="G17" s="116">
        <f t="shared" ref="G17" si="48">G16</f>
        <v>11.799999999999999</v>
      </c>
      <c r="H17" s="116">
        <f t="shared" ref="H17" si="49">H16</f>
        <v>11.899999999999999</v>
      </c>
      <c r="I17" s="116">
        <f t="shared" ref="I17" si="50">I16</f>
        <v>11.999999999999998</v>
      </c>
      <c r="J17" s="116">
        <f t="shared" ref="J17" si="51">J16</f>
        <v>12.099999999999998</v>
      </c>
      <c r="K17" s="116">
        <f t="shared" ref="K17" si="52">K16</f>
        <v>12.199999999999998</v>
      </c>
      <c r="L17" s="116">
        <f t="shared" ref="L17" si="53">L16</f>
        <v>12.299999999999997</v>
      </c>
      <c r="M17" s="116">
        <f t="shared" ref="M17" si="54">M16</f>
        <v>12.399999999999997</v>
      </c>
      <c r="N17" s="116">
        <f t="shared" ref="N17" si="55">N16</f>
        <v>12.499999999999996</v>
      </c>
      <c r="O17" s="116">
        <f t="shared" ref="O17" si="56">O16</f>
        <v>12.599999999999996</v>
      </c>
      <c r="P17" s="116">
        <f t="shared" ref="P17" si="57">P16</f>
        <v>12.699999999999996</v>
      </c>
      <c r="Q17" s="116">
        <f t="shared" ref="Q17" si="58">Q16</f>
        <v>12.799999999999995</v>
      </c>
      <c r="R17" s="116">
        <f t="shared" ref="R17" si="59">R16</f>
        <v>12.899999999999995</v>
      </c>
      <c r="S17" s="116">
        <f t="shared" ref="S17" si="60">S16</f>
        <v>12.999999999999995</v>
      </c>
      <c r="T17" s="116">
        <f t="shared" ref="T17" si="61">T16</f>
        <v>13.099999999999994</v>
      </c>
      <c r="U17" s="116">
        <f t="shared" ref="U17" si="62">U16</f>
        <v>13.199999999999994</v>
      </c>
      <c r="V17" s="116">
        <f t="shared" ref="V17" si="63">V16</f>
        <v>13.299999999999994</v>
      </c>
      <c r="W17" s="116">
        <f t="shared" ref="W17" si="64">W16</f>
        <v>13.399999999999993</v>
      </c>
      <c r="X17" s="116">
        <f t="shared" ref="X17" si="65">X16</f>
        <v>13.499999999999993</v>
      </c>
      <c r="Y17" s="116">
        <f t="shared" ref="Y17" si="66">Y16</f>
        <v>13.599999999999993</v>
      </c>
      <c r="Z17" s="116">
        <f t="shared" ref="Z17" si="67">Z16</f>
        <v>13.699999999999992</v>
      </c>
      <c r="AA17" s="48"/>
      <c r="AB17" s="48"/>
      <c r="AC17" s="48"/>
      <c r="AD17" s="48"/>
    </row>
    <row r="18" spans="1:30" x14ac:dyDescent="0.2">
      <c r="A18" s="110" t="s">
        <v>401</v>
      </c>
      <c r="B18" s="197">
        <v>1000000</v>
      </c>
      <c r="C18" s="114">
        <f>C16*$B$18/($B$18+$B$17)</f>
        <v>11.764705882352937</v>
      </c>
      <c r="D18" s="114">
        <f>D16*$B$18/($B$18+$B$17)</f>
        <v>10.407239819004525</v>
      </c>
      <c r="E18" s="116">
        <f>E16*$B$18/($B$18+$B$17)</f>
        <v>10.497737556561086</v>
      </c>
      <c r="F18" s="116">
        <f t="shared" ref="F18:Z18" si="68">F16*$B$18/($B$18+$B$17)</f>
        <v>10.588235294117647</v>
      </c>
      <c r="G18" s="116">
        <f t="shared" si="68"/>
        <v>10.678733031674206</v>
      </c>
      <c r="H18" s="116">
        <f t="shared" si="68"/>
        <v>10.769230769230768</v>
      </c>
      <c r="I18" s="116">
        <f t="shared" si="68"/>
        <v>10.859728506787329</v>
      </c>
      <c r="J18" s="116">
        <f t="shared" si="68"/>
        <v>10.95022624434389</v>
      </c>
      <c r="K18" s="116">
        <f t="shared" si="68"/>
        <v>11.040723981900451</v>
      </c>
      <c r="L18" s="116">
        <f t="shared" si="68"/>
        <v>11.13122171945701</v>
      </c>
      <c r="M18" s="116">
        <f t="shared" si="68"/>
        <v>11.221719457013572</v>
      </c>
      <c r="N18" s="116">
        <f t="shared" si="68"/>
        <v>11.312217194570133</v>
      </c>
      <c r="O18" s="116">
        <f t="shared" si="68"/>
        <v>11.402714932126694</v>
      </c>
      <c r="P18" s="116">
        <f t="shared" si="68"/>
        <v>11.493212669683254</v>
      </c>
      <c r="Q18" s="116">
        <f t="shared" si="68"/>
        <v>11.583710407239815</v>
      </c>
      <c r="R18" s="116">
        <f t="shared" si="68"/>
        <v>11.674208144796376</v>
      </c>
      <c r="S18" s="116">
        <f t="shared" si="68"/>
        <v>11.764705882352937</v>
      </c>
      <c r="T18" s="116">
        <f t="shared" si="68"/>
        <v>11.855203619909497</v>
      </c>
      <c r="U18" s="116">
        <f t="shared" si="68"/>
        <v>11.945701357466058</v>
      </c>
      <c r="V18" s="116">
        <f t="shared" si="68"/>
        <v>12.036199095022619</v>
      </c>
      <c r="W18" s="116">
        <f t="shared" si="68"/>
        <v>12.126696832579178</v>
      </c>
      <c r="X18" s="116">
        <f t="shared" si="68"/>
        <v>12.217194570135741</v>
      </c>
      <c r="Y18" s="116">
        <f t="shared" si="68"/>
        <v>12.307692307692301</v>
      </c>
      <c r="Z18" s="116">
        <f t="shared" si="68"/>
        <v>12.398190045248862</v>
      </c>
    </row>
    <row r="19" spans="1:30" x14ac:dyDescent="0.2">
      <c r="A19" s="139" t="s">
        <v>569</v>
      </c>
      <c r="C19" s="199">
        <f>C17-C18</f>
        <v>1.235294117647058</v>
      </c>
      <c r="D19" s="195">
        <f>D17-D18</f>
        <v>1.0927601809954748</v>
      </c>
      <c r="E19" s="137">
        <f>E17-E18</f>
        <v>1.1022624434389137</v>
      </c>
      <c r="F19" s="137">
        <f t="shared" ref="F19" si="69">F17-F18</f>
        <v>1.1117647058823525</v>
      </c>
      <c r="G19" s="196">
        <f t="shared" ref="G19" si="70">G17-G18</f>
        <v>1.1212669683257932</v>
      </c>
      <c r="H19" s="137">
        <f t="shared" ref="H19" si="71">H17-H18</f>
        <v>1.1307692307692303</v>
      </c>
      <c r="I19" s="137">
        <f t="shared" ref="I19" si="72">I17-I18</f>
        <v>1.1402714932126692</v>
      </c>
      <c r="J19" s="137">
        <f t="shared" ref="J19" si="73">J17-J18</f>
        <v>1.1497737556561081</v>
      </c>
      <c r="K19" s="137">
        <f t="shared" ref="K19" si="74">K17-K18</f>
        <v>1.1592760180995469</v>
      </c>
      <c r="L19" s="137">
        <f t="shared" ref="L19" si="75">L17-L18</f>
        <v>1.1687782805429876</v>
      </c>
      <c r="M19" s="137">
        <f t="shared" ref="M19" si="76">M17-M18</f>
        <v>1.1782805429864247</v>
      </c>
      <c r="N19" s="137">
        <f t="shared" ref="N19" si="77">N17-N18</f>
        <v>1.1877828054298636</v>
      </c>
      <c r="O19" s="137">
        <f t="shared" ref="O19" si="78">O17-O18</f>
        <v>1.1972850678733025</v>
      </c>
      <c r="P19" s="137">
        <f t="shared" ref="P19" si="79">P17-P18</f>
        <v>1.2067873303167413</v>
      </c>
      <c r="Q19" s="137">
        <f t="shared" ref="Q19" si="80">Q17-Q18</f>
        <v>1.2162895927601802</v>
      </c>
      <c r="R19" s="137">
        <f t="shared" ref="R19" si="81">R17-R18</f>
        <v>1.2257918552036191</v>
      </c>
      <c r="S19" s="137">
        <f t="shared" ref="S19" si="82">S17-S18</f>
        <v>1.235294117647058</v>
      </c>
      <c r="T19" s="137">
        <f t="shared" ref="T19" si="83">T17-T18</f>
        <v>1.2447963800904969</v>
      </c>
      <c r="U19" s="137">
        <f t="shared" ref="U19" si="84">U17-U18</f>
        <v>1.2542986425339357</v>
      </c>
      <c r="V19" s="137">
        <f t="shared" ref="V19" si="85">V17-V18</f>
        <v>1.2638009049773746</v>
      </c>
      <c r="W19" s="137">
        <f t="shared" ref="W19" si="86">W17-W18</f>
        <v>1.2733031674208153</v>
      </c>
      <c r="X19" s="137">
        <f t="shared" ref="X19" si="87">X17-X18</f>
        <v>1.2828054298642524</v>
      </c>
      <c r="Y19" s="137">
        <f t="shared" ref="Y19" si="88">Y17-Y18</f>
        <v>1.2923076923076913</v>
      </c>
      <c r="Z19" s="137">
        <f t="shared" ref="Z19" si="89">Z17-Z18</f>
        <v>1.3018099547511301</v>
      </c>
      <c r="AA19" s="112"/>
    </row>
    <row r="34" spans="1:26" x14ac:dyDescent="0.2">
      <c r="A34" s="110" t="s">
        <v>403</v>
      </c>
      <c r="C34">
        <f>Z34</f>
        <v>13.699999999999992</v>
      </c>
      <c r="D34">
        <v>11.5</v>
      </c>
      <c r="E34">
        <f>D34+0.1</f>
        <v>11.6</v>
      </c>
      <c r="F34">
        <f t="shared" ref="F34:O34" si="90">E34+0.1</f>
        <v>11.7</v>
      </c>
      <c r="G34">
        <f t="shared" si="90"/>
        <v>11.799999999999999</v>
      </c>
      <c r="H34">
        <f t="shared" si="90"/>
        <v>11.899999999999999</v>
      </c>
      <c r="I34">
        <f t="shared" si="90"/>
        <v>11.999999999999998</v>
      </c>
      <c r="J34">
        <f t="shared" si="90"/>
        <v>12.099999999999998</v>
      </c>
      <c r="K34">
        <f t="shared" si="90"/>
        <v>12.199999999999998</v>
      </c>
      <c r="L34">
        <f t="shared" si="90"/>
        <v>12.299999999999997</v>
      </c>
      <c r="M34">
        <f t="shared" si="90"/>
        <v>12.399999999999997</v>
      </c>
      <c r="N34">
        <f t="shared" si="90"/>
        <v>12.499999999999996</v>
      </c>
      <c r="O34">
        <f t="shared" si="90"/>
        <v>12.599999999999996</v>
      </c>
      <c r="P34">
        <f t="shared" ref="P34:Z34" si="91">O34+0.1</f>
        <v>12.699999999999996</v>
      </c>
      <c r="Q34">
        <f t="shared" si="91"/>
        <v>12.799999999999995</v>
      </c>
      <c r="R34">
        <f t="shared" si="91"/>
        <v>12.899999999999995</v>
      </c>
      <c r="S34">
        <f t="shared" si="91"/>
        <v>12.999999999999995</v>
      </c>
      <c r="T34">
        <f t="shared" si="91"/>
        <v>13.099999999999994</v>
      </c>
      <c r="U34">
        <f t="shared" si="91"/>
        <v>13.199999999999994</v>
      </c>
      <c r="V34">
        <f t="shared" si="91"/>
        <v>13.299999999999994</v>
      </c>
      <c r="W34">
        <f t="shared" si="91"/>
        <v>13.399999999999993</v>
      </c>
      <c r="X34">
        <f t="shared" si="91"/>
        <v>13.499999999999993</v>
      </c>
      <c r="Y34">
        <f t="shared" si="91"/>
        <v>13.599999999999993</v>
      </c>
      <c r="Z34">
        <f t="shared" si="91"/>
        <v>13.699999999999992</v>
      </c>
    </row>
    <row r="35" spans="1:26" x14ac:dyDescent="0.2">
      <c r="A35" s="110" t="s">
        <v>399</v>
      </c>
      <c r="B35">
        <v>304</v>
      </c>
    </row>
    <row r="36" spans="1:26" x14ac:dyDescent="0.2">
      <c r="A36" s="110" t="s">
        <v>400</v>
      </c>
      <c r="B36">
        <v>255</v>
      </c>
      <c r="C36" s="113">
        <f t="shared" ref="C36:C39" si="92">Z36</f>
        <v>12.360405275008034</v>
      </c>
      <c r="D36" s="112">
        <f t="shared" ref="D36:Z36" si="93">D34*($B$36+$B$37)/($B$35+$B$36+$B$37)</f>
        <v>10.375522676101641</v>
      </c>
      <c r="E36" s="112">
        <f t="shared" si="93"/>
        <v>10.465744612415568</v>
      </c>
      <c r="F36" s="112">
        <f t="shared" si="93"/>
        <v>10.555966548729495</v>
      </c>
      <c r="G36" s="112">
        <f t="shared" si="93"/>
        <v>10.646188485043423</v>
      </c>
      <c r="H36" s="112">
        <f t="shared" si="93"/>
        <v>10.736410421357347</v>
      </c>
      <c r="I36" s="112">
        <f t="shared" si="93"/>
        <v>10.826632357671274</v>
      </c>
      <c r="J36" s="112">
        <f t="shared" si="93"/>
        <v>10.916854293985201</v>
      </c>
      <c r="K36" s="112">
        <f t="shared" si="93"/>
        <v>11.007076230299129</v>
      </c>
      <c r="L36" s="112">
        <f t="shared" si="93"/>
        <v>11.097298166613056</v>
      </c>
      <c r="M36" s="112">
        <f t="shared" si="93"/>
        <v>11.187520102926984</v>
      </c>
      <c r="N36" s="112">
        <f t="shared" si="93"/>
        <v>11.277742039240911</v>
      </c>
      <c r="O36" s="112">
        <f t="shared" si="93"/>
        <v>11.367963975554837</v>
      </c>
      <c r="P36" s="112">
        <f t="shared" si="93"/>
        <v>11.458185911868764</v>
      </c>
      <c r="Q36" s="112">
        <f t="shared" si="93"/>
        <v>11.548407848182691</v>
      </c>
      <c r="R36" s="112">
        <f t="shared" si="93"/>
        <v>11.638629784496619</v>
      </c>
      <c r="S36" s="112">
        <f t="shared" si="93"/>
        <v>11.728851720810546</v>
      </c>
      <c r="T36" s="112">
        <f t="shared" si="93"/>
        <v>11.819073657124473</v>
      </c>
      <c r="U36" s="112">
        <f t="shared" si="93"/>
        <v>11.909295593438401</v>
      </c>
      <c r="V36" s="112">
        <f t="shared" si="93"/>
        <v>11.999517529752326</v>
      </c>
      <c r="W36" s="112">
        <f t="shared" si="93"/>
        <v>12.089739466066252</v>
      </c>
      <c r="X36" s="112">
        <f t="shared" si="93"/>
        <v>12.179961402380179</v>
      </c>
      <c r="Y36" s="112">
        <f t="shared" si="93"/>
        <v>12.270183338694107</v>
      </c>
      <c r="Z36" s="112">
        <f t="shared" si="93"/>
        <v>12.360405275008034</v>
      </c>
    </row>
    <row r="37" spans="1:26" x14ac:dyDescent="0.2">
      <c r="A37" s="110" t="s">
        <v>401</v>
      </c>
      <c r="B37">
        <v>2550</v>
      </c>
      <c r="C37" s="113">
        <f t="shared" si="92"/>
        <v>11.236732068189122</v>
      </c>
      <c r="D37" s="112">
        <f t="shared" ref="D37:Z37" si="94">D34*($B$37)/($B$35+$B$36+$B$37)</f>
        <v>9.432293341910583</v>
      </c>
      <c r="E37" s="112">
        <f t="shared" si="94"/>
        <v>9.5143132840141522</v>
      </c>
      <c r="F37" s="112">
        <f t="shared" si="94"/>
        <v>9.5963332261177232</v>
      </c>
      <c r="G37" s="112">
        <f t="shared" si="94"/>
        <v>9.6783531682212924</v>
      </c>
      <c r="H37" s="112">
        <f t="shared" si="94"/>
        <v>9.7603731103248617</v>
      </c>
      <c r="I37" s="112">
        <f t="shared" si="94"/>
        <v>9.8423930524284327</v>
      </c>
      <c r="J37" s="112">
        <f t="shared" si="94"/>
        <v>9.9244129945320019</v>
      </c>
      <c r="K37" s="112">
        <f t="shared" si="94"/>
        <v>10.006432936635571</v>
      </c>
      <c r="L37" s="112">
        <f t="shared" si="94"/>
        <v>10.088452878739142</v>
      </c>
      <c r="M37" s="112">
        <f t="shared" si="94"/>
        <v>10.170472820842713</v>
      </c>
      <c r="N37" s="112">
        <f t="shared" si="94"/>
        <v>10.252492762946282</v>
      </c>
      <c r="O37" s="112">
        <f t="shared" si="94"/>
        <v>10.334512705049852</v>
      </c>
      <c r="P37" s="112">
        <f t="shared" si="94"/>
        <v>10.416532647153423</v>
      </c>
      <c r="Q37" s="112">
        <f t="shared" si="94"/>
        <v>10.498552589256992</v>
      </c>
      <c r="R37" s="112">
        <f t="shared" si="94"/>
        <v>10.580572531360561</v>
      </c>
      <c r="S37" s="112">
        <f t="shared" si="94"/>
        <v>10.662592473464132</v>
      </c>
      <c r="T37" s="112">
        <f t="shared" si="94"/>
        <v>10.744612415567701</v>
      </c>
      <c r="U37" s="112">
        <f t="shared" si="94"/>
        <v>10.826632357671272</v>
      </c>
      <c r="V37" s="112">
        <f t="shared" si="94"/>
        <v>10.908652299774843</v>
      </c>
      <c r="W37" s="112">
        <f t="shared" si="94"/>
        <v>10.990672241878412</v>
      </c>
      <c r="X37" s="112">
        <f t="shared" si="94"/>
        <v>11.072692183981983</v>
      </c>
      <c r="Y37" s="112">
        <f t="shared" si="94"/>
        <v>11.154712126085551</v>
      </c>
      <c r="Z37" s="112">
        <f t="shared" si="94"/>
        <v>11.236732068189122</v>
      </c>
    </row>
    <row r="38" spans="1:26" x14ac:dyDescent="0.2">
      <c r="A38" s="110" t="s">
        <v>534</v>
      </c>
      <c r="C38" s="113">
        <f t="shared" si="92"/>
        <v>4.4065615953682835</v>
      </c>
      <c r="D38" s="113">
        <f t="shared" ref="D38:Z38" si="95">D34/($B$35+$B$36+$B$37)*1000</f>
        <v>3.6989385654551303</v>
      </c>
      <c r="E38" s="113">
        <f t="shared" si="95"/>
        <v>3.7311032486330009</v>
      </c>
      <c r="F38" s="113">
        <f t="shared" si="95"/>
        <v>3.7632679318108715</v>
      </c>
      <c r="G38" s="113">
        <f t="shared" si="95"/>
        <v>3.7954326149887416</v>
      </c>
      <c r="H38" s="113">
        <f t="shared" si="95"/>
        <v>3.8275972981666126</v>
      </c>
      <c r="I38" s="113">
        <f t="shared" si="95"/>
        <v>3.8597619813444832</v>
      </c>
      <c r="J38" s="113">
        <f t="shared" si="95"/>
        <v>3.8919266645223538</v>
      </c>
      <c r="K38" s="113">
        <f t="shared" si="95"/>
        <v>3.9240913477002248</v>
      </c>
      <c r="L38" s="113">
        <f t="shared" si="95"/>
        <v>3.9562560308780954</v>
      </c>
      <c r="M38" s="113">
        <f t="shared" si="95"/>
        <v>3.9884207140559655</v>
      </c>
      <c r="N38" s="113">
        <f t="shared" si="95"/>
        <v>4.0205853972338366</v>
      </c>
      <c r="O38" s="113">
        <f t="shared" si="95"/>
        <v>4.0527500804117071</v>
      </c>
      <c r="P38" s="113">
        <f t="shared" si="95"/>
        <v>4.0849147635895768</v>
      </c>
      <c r="Q38" s="113">
        <f t="shared" si="95"/>
        <v>4.1170794467674474</v>
      </c>
      <c r="R38" s="113">
        <f t="shared" si="95"/>
        <v>4.149244129945318</v>
      </c>
      <c r="S38" s="113">
        <f t="shared" si="95"/>
        <v>4.1814088131231886</v>
      </c>
      <c r="T38" s="113">
        <f t="shared" si="95"/>
        <v>4.2135734963010592</v>
      </c>
      <c r="U38" s="113">
        <f t="shared" si="95"/>
        <v>4.2457381794789306</v>
      </c>
      <c r="V38" s="113">
        <f t="shared" si="95"/>
        <v>4.2779028626568012</v>
      </c>
      <c r="W38" s="113">
        <f t="shared" si="95"/>
        <v>4.3100675458346718</v>
      </c>
      <c r="X38" s="113">
        <f t="shared" si="95"/>
        <v>4.3422322290125424</v>
      </c>
      <c r="Y38" s="113">
        <f t="shared" si="95"/>
        <v>4.3743969121904129</v>
      </c>
      <c r="Z38" s="113">
        <f t="shared" si="95"/>
        <v>4.4065615953682835</v>
      </c>
    </row>
    <row r="39" spans="1:26" x14ac:dyDescent="0.2">
      <c r="A39" s="110" t="s">
        <v>535</v>
      </c>
      <c r="C39" s="176">
        <f t="shared" si="92"/>
        <v>2.9471949010512492E-4</v>
      </c>
      <c r="D39" s="176">
        <f t="shared" ref="D39:Z39" si="96">(D34-D36-1.25)/$B$35</f>
        <v>-4.1290353980802825E-4</v>
      </c>
      <c r="E39" s="176">
        <f t="shared" si="96"/>
        <v>-3.8073885663015899E-4</v>
      </c>
      <c r="F39" s="176">
        <f t="shared" si="96"/>
        <v>-3.4857417345228968E-4</v>
      </c>
      <c r="G39" s="176">
        <f t="shared" si="96"/>
        <v>-3.1640949027442043E-4</v>
      </c>
      <c r="H39" s="176">
        <f t="shared" si="96"/>
        <v>-2.8424480709653946E-4</v>
      </c>
      <c r="I39" s="176">
        <f t="shared" si="96"/>
        <v>-2.5208012391867021E-4</v>
      </c>
      <c r="J39" s="176">
        <f t="shared" si="96"/>
        <v>-2.1991544074080092E-4</v>
      </c>
      <c r="K39" s="176">
        <f t="shared" si="96"/>
        <v>-1.8775075756293167E-4</v>
      </c>
      <c r="L39" s="176">
        <f t="shared" si="96"/>
        <v>-1.5558607438506238E-4</v>
      </c>
      <c r="M39" s="176">
        <f t="shared" si="96"/>
        <v>-1.2342139120719313E-4</v>
      </c>
      <c r="N39" s="176">
        <f t="shared" si="96"/>
        <v>-9.1256708029323859E-5</v>
      </c>
      <c r="O39" s="176">
        <f t="shared" si="96"/>
        <v>-5.9092024851448742E-5</v>
      </c>
      <c r="P39" s="176">
        <f t="shared" si="96"/>
        <v>-2.6927341673579469E-5</v>
      </c>
      <c r="Q39" s="176">
        <f t="shared" si="96"/>
        <v>5.2373415042898009E-6</v>
      </c>
      <c r="R39" s="176">
        <f t="shared" si="96"/>
        <v>3.7402024682159073E-5</v>
      </c>
      <c r="S39" s="176">
        <f t="shared" si="96"/>
        <v>6.9566707860028342E-5</v>
      </c>
      <c r="T39" s="176">
        <f t="shared" si="96"/>
        <v>1.0173139103789761E-4</v>
      </c>
      <c r="U39" s="176">
        <f t="shared" si="96"/>
        <v>1.3389607421576688E-4</v>
      </c>
      <c r="V39" s="176">
        <f t="shared" si="96"/>
        <v>1.6606075739364199E-4</v>
      </c>
      <c r="W39" s="176">
        <f t="shared" si="96"/>
        <v>1.982254405715171E-4</v>
      </c>
      <c r="X39" s="176">
        <f t="shared" si="96"/>
        <v>2.3039012374938638E-4</v>
      </c>
      <c r="Y39" s="176">
        <f t="shared" si="96"/>
        <v>2.6255480692725567E-4</v>
      </c>
      <c r="Z39" s="176">
        <f t="shared" si="96"/>
        <v>2.9471949010512492E-4</v>
      </c>
    </row>
    <row r="41" spans="1:26" ht="20.25" x14ac:dyDescent="0.3">
      <c r="E41" s="1" t="s">
        <v>408</v>
      </c>
    </row>
    <row r="43" spans="1:26" x14ac:dyDescent="0.2">
      <c r="B43" s="110" t="s">
        <v>407</v>
      </c>
      <c r="C43" s="109" t="s">
        <v>399</v>
      </c>
      <c r="D43" s="108" t="s">
        <v>403</v>
      </c>
      <c r="E43" s="108" t="s">
        <v>397</v>
      </c>
      <c r="F43" s="108" t="s">
        <v>398</v>
      </c>
      <c r="G43" s="108"/>
    </row>
    <row r="44" spans="1:26" x14ac:dyDescent="0.2">
      <c r="B44" s="113">
        <f>(D44-E44)/C44*1000</f>
        <v>4.8491379310344831</v>
      </c>
      <c r="C44" s="6">
        <v>464</v>
      </c>
      <c r="D44" s="113">
        <v>12</v>
      </c>
      <c r="E44" s="112">
        <v>9.75</v>
      </c>
      <c r="F44">
        <f>E44-1.24</f>
        <v>8.51</v>
      </c>
    </row>
    <row r="45" spans="1:26" x14ac:dyDescent="0.2">
      <c r="B45" s="114">
        <f>(D45-E45)/C45*1000</f>
        <v>7.0043103448275863</v>
      </c>
      <c r="C45" s="6">
        <f>C44</f>
        <v>464</v>
      </c>
      <c r="D45" s="113">
        <v>13</v>
      </c>
      <c r="E45">
        <f>E44</f>
        <v>9.75</v>
      </c>
      <c r="F45">
        <f>E45-1.24</f>
        <v>8.51</v>
      </c>
    </row>
    <row r="46" spans="1:26" x14ac:dyDescent="0.2">
      <c r="B46" s="113"/>
    </row>
    <row r="47" spans="1:26" x14ac:dyDescent="0.2">
      <c r="B47" s="113"/>
      <c r="N47" s="121" t="s">
        <v>412</v>
      </c>
      <c r="O47" s="122">
        <f>D44</f>
        <v>12</v>
      </c>
      <c r="P47" s="6" t="s">
        <v>413</v>
      </c>
      <c r="Q47" s="6"/>
      <c r="R47" s="6"/>
      <c r="S47" s="121" t="s">
        <v>412</v>
      </c>
      <c r="T47" s="122">
        <f>D45</f>
        <v>13</v>
      </c>
      <c r="U47" s="6" t="s">
        <v>414</v>
      </c>
      <c r="V47" s="6"/>
    </row>
    <row r="48" spans="1:26" x14ac:dyDescent="0.2">
      <c r="B48" s="113"/>
      <c r="N48" s="120" t="s">
        <v>399</v>
      </c>
      <c r="O48" s="115"/>
      <c r="P48" s="120" t="s">
        <v>406</v>
      </c>
      <c r="Q48" s="120"/>
      <c r="R48" s="115"/>
      <c r="S48" s="120" t="s">
        <v>399</v>
      </c>
      <c r="T48" s="115"/>
      <c r="U48" s="120" t="s">
        <v>406</v>
      </c>
    </row>
    <row r="49" spans="2:22" x14ac:dyDescent="0.2">
      <c r="B49" s="120" t="s">
        <v>543</v>
      </c>
      <c r="C49" s="109" t="s">
        <v>544</v>
      </c>
      <c r="D49" s="108" t="s">
        <v>399</v>
      </c>
      <c r="E49" s="108" t="s">
        <v>403</v>
      </c>
      <c r="F49" s="108" t="s">
        <v>397</v>
      </c>
      <c r="G49" s="108" t="s">
        <v>398</v>
      </c>
      <c r="H49" s="109" t="s">
        <v>402</v>
      </c>
      <c r="I49" s="109" t="s">
        <v>400</v>
      </c>
      <c r="J49" s="109" t="s">
        <v>401</v>
      </c>
      <c r="K49" s="108" t="s">
        <v>405</v>
      </c>
      <c r="N49" s="115">
        <f>B44</f>
        <v>4.8491379310344831</v>
      </c>
      <c r="O49" s="115"/>
      <c r="P49" s="115">
        <f>B50</f>
        <v>0</v>
      </c>
      <c r="Q49" s="115">
        <f>P49+N49</f>
        <v>4.8491379310344831</v>
      </c>
      <c r="R49" s="115"/>
      <c r="S49" s="115">
        <f>B45</f>
        <v>7.0043103448275863</v>
      </c>
      <c r="T49" s="115"/>
      <c r="U49" s="115">
        <f>B51</f>
        <v>2.1551724137931032</v>
      </c>
      <c r="V49" s="115">
        <f>U49+S49</f>
        <v>9.1594827586206904</v>
      </c>
    </row>
    <row r="50" spans="2:22" x14ac:dyDescent="0.2">
      <c r="B50" s="113">
        <f>(E50-F50-2.25)/C50*1000</f>
        <v>0</v>
      </c>
      <c r="C50" s="6">
        <v>464</v>
      </c>
      <c r="D50">
        <f>C44</f>
        <v>464</v>
      </c>
      <c r="E50" s="116">
        <f>D44</f>
        <v>12</v>
      </c>
      <c r="F50" s="112">
        <f>E44</f>
        <v>9.75</v>
      </c>
      <c r="G50" s="112">
        <f>F50-1.24</f>
        <v>8.51</v>
      </c>
      <c r="H50" s="107">
        <f>I50+J50</f>
        <v>2710</v>
      </c>
      <c r="I50" s="107">
        <v>340</v>
      </c>
      <c r="J50" s="107">
        <v>2370</v>
      </c>
      <c r="K50" s="112">
        <f>F50/H50*1000</f>
        <v>3.5977859778597785</v>
      </c>
      <c r="L50">
        <f>K50*J50/1000</f>
        <v>8.5267527675276735</v>
      </c>
      <c r="N50" s="115"/>
      <c r="O50" s="115"/>
      <c r="P50" s="115"/>
      <c r="Q50" s="115"/>
      <c r="R50" s="115"/>
      <c r="S50" s="115"/>
      <c r="T50" s="115"/>
      <c r="U50" s="115"/>
      <c r="V50" s="115"/>
    </row>
    <row r="51" spans="2:22" x14ac:dyDescent="0.2">
      <c r="B51" s="114">
        <f>(E51-F51-2.25)/C51*1000</f>
        <v>2.1551724137931032</v>
      </c>
      <c r="C51" s="6">
        <f>C50</f>
        <v>464</v>
      </c>
      <c r="D51">
        <f>C44</f>
        <v>464</v>
      </c>
      <c r="E51" s="113">
        <f>D45</f>
        <v>13</v>
      </c>
      <c r="F51" s="112">
        <f>F50</f>
        <v>9.75</v>
      </c>
      <c r="G51">
        <f>F51-1.24</f>
        <v>8.51</v>
      </c>
      <c r="H51" s="107">
        <f>H50</f>
        <v>2710</v>
      </c>
      <c r="I51" s="107">
        <f>H51-J51</f>
        <v>340</v>
      </c>
      <c r="J51" s="107">
        <f>J50</f>
        <v>2370</v>
      </c>
      <c r="K51" s="112">
        <f>F51/H51*1000</f>
        <v>3.5977859778597785</v>
      </c>
      <c r="L51">
        <f>K51*J51/1000</f>
        <v>8.5267527675276735</v>
      </c>
      <c r="N51" s="115"/>
      <c r="O51" s="115"/>
      <c r="P51" s="115"/>
      <c r="Q51" s="115"/>
      <c r="R51" s="115"/>
      <c r="S51" s="115"/>
      <c r="T51" s="115"/>
      <c r="U51" s="115"/>
      <c r="V51" s="115"/>
    </row>
    <row r="52" spans="2:22" x14ac:dyDescent="0.2">
      <c r="B52" s="113"/>
      <c r="C52" s="6"/>
      <c r="N52" s="120" t="s">
        <v>410</v>
      </c>
      <c r="O52" s="115"/>
      <c r="P52" s="120" t="s">
        <v>411</v>
      </c>
      <c r="Q52" s="120"/>
      <c r="R52" s="115"/>
      <c r="S52" s="120" t="s">
        <v>410</v>
      </c>
      <c r="T52" s="115"/>
      <c r="U52" s="120" t="s">
        <v>411</v>
      </c>
      <c r="V52" s="120"/>
    </row>
    <row r="53" spans="2:22" x14ac:dyDescent="0.2">
      <c r="B53" s="113"/>
      <c r="N53" s="111">
        <f>B55</f>
        <v>1.2513519531747046</v>
      </c>
      <c r="O53" s="115"/>
      <c r="P53" s="115">
        <f>K50</f>
        <v>3.5977859778597785</v>
      </c>
      <c r="Q53" s="115">
        <f>P53+N53</f>
        <v>4.8491379310344831</v>
      </c>
      <c r="R53" s="115"/>
      <c r="S53" s="115">
        <f>B56</f>
        <v>5.5616967807609115</v>
      </c>
      <c r="T53" s="115"/>
      <c r="U53" s="115">
        <f>K51</f>
        <v>3.5977859778597785</v>
      </c>
      <c r="V53" s="115">
        <f>U53+S53</f>
        <v>9.1594827586206904</v>
      </c>
    </row>
    <row r="54" spans="2:22" x14ac:dyDescent="0.2">
      <c r="B54" s="116" t="s">
        <v>542</v>
      </c>
      <c r="N54" s="115"/>
      <c r="O54" s="115"/>
      <c r="P54" s="115"/>
      <c r="Q54" s="115"/>
      <c r="R54" s="115"/>
      <c r="S54" s="115"/>
      <c r="T54" s="115"/>
      <c r="U54" s="115"/>
    </row>
    <row r="55" spans="2:22" x14ac:dyDescent="0.2">
      <c r="B55" s="113">
        <f>B50+B44-K50</f>
        <v>1.2513519531747046</v>
      </c>
      <c r="E55">
        <v>10.7</v>
      </c>
    </row>
    <row r="56" spans="2:22" x14ac:dyDescent="0.2">
      <c r="B56" s="193">
        <f>B51+B45-K51</f>
        <v>5.5616967807609115</v>
      </c>
      <c r="E56">
        <v>13.5</v>
      </c>
    </row>
    <row r="57" spans="2:22" x14ac:dyDescent="0.2">
      <c r="B57" s="117"/>
    </row>
    <row r="60" spans="2:22" ht="18" x14ac:dyDescent="0.25">
      <c r="B60" s="124" t="s">
        <v>416</v>
      </c>
    </row>
    <row r="62" spans="2:22" x14ac:dyDescent="0.2">
      <c r="B62" s="110" t="s">
        <v>407</v>
      </c>
      <c r="C62" s="109" t="s">
        <v>399</v>
      </c>
      <c r="D62" s="128" t="s">
        <v>403</v>
      </c>
      <c r="E62" s="108" t="s">
        <v>397</v>
      </c>
      <c r="F62" s="108" t="s">
        <v>398</v>
      </c>
      <c r="G62" s="108"/>
    </row>
    <row r="63" spans="2:22" ht="18" x14ac:dyDescent="0.25">
      <c r="B63" s="113">
        <f>(D63-E63)/C63*1000</f>
        <v>3.6637931034482745</v>
      </c>
      <c r="C63" s="92">
        <v>464</v>
      </c>
      <c r="D63" s="134">
        <v>12</v>
      </c>
      <c r="E63" s="112">
        <f>F69</f>
        <v>10.3</v>
      </c>
      <c r="F63">
        <f>E63-1.24</f>
        <v>9.06</v>
      </c>
    </row>
    <row r="64" spans="2:22" ht="18" x14ac:dyDescent="0.25">
      <c r="B64" s="114">
        <f>(D64-E64)/C64*1000</f>
        <v>9.6982758620689662</v>
      </c>
      <c r="C64" s="6">
        <f>C63</f>
        <v>464</v>
      </c>
      <c r="D64" s="134">
        <v>13.5</v>
      </c>
      <c r="E64">
        <v>9</v>
      </c>
      <c r="F64">
        <f>E64-1.24</f>
        <v>7.76</v>
      </c>
    </row>
    <row r="65" spans="2:22" x14ac:dyDescent="0.2">
      <c r="B65" s="117"/>
    </row>
    <row r="66" spans="2:22" x14ac:dyDescent="0.2">
      <c r="B66" s="117"/>
      <c r="N66" s="121" t="s">
        <v>412</v>
      </c>
      <c r="O66" s="122">
        <f>D63</f>
        <v>12</v>
      </c>
      <c r="P66" s="6" t="s">
        <v>413</v>
      </c>
      <c r="Q66" s="6"/>
      <c r="R66" s="6"/>
      <c r="S66" s="121" t="s">
        <v>412</v>
      </c>
      <c r="T66" s="122">
        <f>D64</f>
        <v>13.5</v>
      </c>
      <c r="U66" s="6" t="s">
        <v>414</v>
      </c>
      <c r="V66" s="6"/>
    </row>
    <row r="67" spans="2:22" x14ac:dyDescent="0.2">
      <c r="B67" s="117"/>
      <c r="N67" s="120" t="s">
        <v>399</v>
      </c>
      <c r="O67" s="115"/>
      <c r="P67" s="120" t="s">
        <v>406</v>
      </c>
      <c r="Q67" s="120"/>
      <c r="R67" s="115"/>
      <c r="S67" s="120" t="s">
        <v>399</v>
      </c>
      <c r="T67" s="115"/>
      <c r="U67" s="120" t="s">
        <v>406</v>
      </c>
    </row>
    <row r="68" spans="2:22" x14ac:dyDescent="0.2">
      <c r="B68" s="118" t="s">
        <v>404</v>
      </c>
      <c r="C68" s="109" t="s">
        <v>406</v>
      </c>
      <c r="D68" s="108" t="s">
        <v>399</v>
      </c>
      <c r="E68" s="108" t="s">
        <v>403</v>
      </c>
      <c r="F68" s="108" t="s">
        <v>397</v>
      </c>
      <c r="G68" s="108" t="s">
        <v>398</v>
      </c>
      <c r="H68" s="109" t="s">
        <v>402</v>
      </c>
      <c r="I68" s="109" t="s">
        <v>400</v>
      </c>
      <c r="J68" s="109" t="s">
        <v>401</v>
      </c>
      <c r="K68" s="108" t="s">
        <v>405</v>
      </c>
      <c r="N68" s="115">
        <f>B63</f>
        <v>3.6637931034482745</v>
      </c>
      <c r="O68" s="115"/>
      <c r="P68" s="115">
        <f>B69</f>
        <v>-6.0557619525008532E-15</v>
      </c>
      <c r="Q68" s="115">
        <f>P68+N68</f>
        <v>3.6637931034482683</v>
      </c>
      <c r="R68" s="115"/>
      <c r="S68" s="115">
        <f>B64</f>
        <v>9.6982758620689662</v>
      </c>
      <c r="T68" s="115"/>
      <c r="U68" s="115">
        <f>B70</f>
        <v>13.636363636363631</v>
      </c>
      <c r="V68" s="115">
        <f>U68+S68</f>
        <v>23.334639498432598</v>
      </c>
    </row>
    <row r="69" spans="2:22" x14ac:dyDescent="0.2">
      <c r="B69" s="113">
        <f>(E69-F69-1.7)/C69*1000</f>
        <v>-6.0557619525008532E-15</v>
      </c>
      <c r="C69" s="92">
        <v>110</v>
      </c>
      <c r="D69">
        <f>C63</f>
        <v>464</v>
      </c>
      <c r="E69" s="137">
        <f>D63</f>
        <v>12</v>
      </c>
      <c r="F69" s="112">
        <f>E69-1.7</f>
        <v>10.3</v>
      </c>
      <c r="G69" s="112">
        <f>F69*(J69/H69)</f>
        <v>9.0882352941176467</v>
      </c>
      <c r="H69" s="107">
        <f>I69+J69</f>
        <v>2890</v>
      </c>
      <c r="I69" s="123">
        <v>340</v>
      </c>
      <c r="J69" s="123">
        <v>2550</v>
      </c>
      <c r="K69" s="112">
        <f t="shared" ref="K69:K70" si="97">F69/H69*1000</f>
        <v>3.5640138408304498</v>
      </c>
      <c r="L69">
        <f t="shared" ref="L69:L70" si="98">K69*J69/1000</f>
        <v>9.0882352941176467</v>
      </c>
      <c r="M69" s="112"/>
      <c r="N69" s="115"/>
      <c r="O69" s="115"/>
      <c r="P69" s="115"/>
      <c r="Q69" s="115"/>
      <c r="R69" s="115"/>
      <c r="S69" s="115"/>
      <c r="T69" s="115"/>
      <c r="U69" s="115"/>
      <c r="V69" s="115"/>
    </row>
    <row r="70" spans="2:22" x14ac:dyDescent="0.2">
      <c r="B70" s="114">
        <f>(E70-F70-1.7)/C70*1000</f>
        <v>13.636363636363631</v>
      </c>
      <c r="C70" s="6">
        <f>C69</f>
        <v>110</v>
      </c>
      <c r="D70">
        <f>C63</f>
        <v>464</v>
      </c>
      <c r="E70" s="113">
        <f>D64</f>
        <v>13.5</v>
      </c>
      <c r="F70" s="112">
        <f>F69</f>
        <v>10.3</v>
      </c>
      <c r="G70" s="112">
        <f>G69</f>
        <v>9.0882352941176467</v>
      </c>
      <c r="H70" s="107">
        <f>H69</f>
        <v>2890</v>
      </c>
      <c r="I70" s="107">
        <f t="shared" ref="I70:J70" si="99">I69</f>
        <v>340</v>
      </c>
      <c r="J70" s="107">
        <f t="shared" si="99"/>
        <v>2550</v>
      </c>
      <c r="K70" s="112">
        <f t="shared" si="97"/>
        <v>3.5640138408304498</v>
      </c>
      <c r="L70">
        <f t="shared" si="98"/>
        <v>9.0882352941176467</v>
      </c>
      <c r="M70" s="112"/>
      <c r="N70" s="115"/>
      <c r="O70" s="115"/>
      <c r="P70" s="115"/>
      <c r="Q70" s="115"/>
      <c r="R70" s="115"/>
      <c r="S70" s="115"/>
      <c r="T70" s="115"/>
      <c r="U70" s="115"/>
      <c r="V70" s="115"/>
    </row>
    <row r="71" spans="2:22" x14ac:dyDescent="0.2">
      <c r="B71" s="117"/>
      <c r="C71" s="6"/>
      <c r="M71" s="117"/>
      <c r="N71" s="127" t="s">
        <v>410</v>
      </c>
      <c r="O71" s="115"/>
      <c r="P71" s="120" t="s">
        <v>411</v>
      </c>
      <c r="Q71" s="120"/>
      <c r="R71" s="115"/>
      <c r="S71" s="127" t="s">
        <v>410</v>
      </c>
      <c r="T71" s="115"/>
      <c r="U71" s="120" t="s">
        <v>411</v>
      </c>
      <c r="V71" s="120"/>
    </row>
    <row r="72" spans="2:22" ht="18" x14ac:dyDescent="0.25">
      <c r="B72" s="117"/>
      <c r="M72" s="117"/>
      <c r="N72" s="125">
        <f>B74</f>
        <v>9.9779262617818443E-2</v>
      </c>
      <c r="O72" s="115"/>
      <c r="P72" s="115">
        <f>K69</f>
        <v>3.5640138408304498</v>
      </c>
      <c r="Q72" s="115">
        <f>P72+N72</f>
        <v>3.6637931034482683</v>
      </c>
      <c r="R72" s="115"/>
      <c r="S72" s="126">
        <f>B75</f>
        <v>19.770625657602146</v>
      </c>
      <c r="T72" s="115"/>
      <c r="U72" s="115">
        <f>K70</f>
        <v>3.5640138408304498</v>
      </c>
      <c r="V72" s="115">
        <f>U72+S72</f>
        <v>23.334639498432594</v>
      </c>
    </row>
    <row r="73" spans="2:22" x14ac:dyDescent="0.2">
      <c r="B73" s="119" t="s">
        <v>409</v>
      </c>
      <c r="M73" s="117"/>
      <c r="N73" s="115"/>
      <c r="O73" s="115"/>
      <c r="P73" s="115"/>
      <c r="Q73" s="115"/>
      <c r="R73" s="115"/>
      <c r="S73" s="115"/>
      <c r="T73" s="115"/>
      <c r="U73" s="115"/>
    </row>
    <row r="74" spans="2:22" x14ac:dyDescent="0.2">
      <c r="B74" s="113">
        <f>B69+B63-K69</f>
        <v>9.9779262617818443E-2</v>
      </c>
      <c r="E74">
        <v>10.7</v>
      </c>
      <c r="M74" s="117"/>
    </row>
    <row r="75" spans="2:22" x14ac:dyDescent="0.2">
      <c r="B75" s="114">
        <f>B70+B64-K70</f>
        <v>19.770625657602146</v>
      </c>
      <c r="E75">
        <v>13.5</v>
      </c>
      <c r="M75" s="117"/>
    </row>
    <row r="76" spans="2:22" x14ac:dyDescent="0.2">
      <c r="B76" s="117"/>
      <c r="M76" s="117"/>
    </row>
    <row r="77" spans="2:22" x14ac:dyDescent="0.2">
      <c r="M77" s="117"/>
    </row>
    <row r="78" spans="2:22" x14ac:dyDescent="0.2">
      <c r="M78" s="117"/>
    </row>
    <row r="79" spans="2:22" x14ac:dyDescent="0.2">
      <c r="M79" s="117"/>
    </row>
    <row r="80" spans="2:22" ht="18" x14ac:dyDescent="0.25">
      <c r="B80" s="124" t="s">
        <v>415</v>
      </c>
      <c r="M80" s="117"/>
    </row>
    <row r="81" spans="2:22" x14ac:dyDescent="0.2">
      <c r="M81" s="117"/>
    </row>
    <row r="82" spans="2:22" x14ac:dyDescent="0.2">
      <c r="B82" s="110" t="s">
        <v>407</v>
      </c>
      <c r="C82" s="109" t="s">
        <v>399</v>
      </c>
      <c r="D82" s="128" t="s">
        <v>403</v>
      </c>
      <c r="E82" s="108" t="s">
        <v>397</v>
      </c>
      <c r="F82" s="108" t="s">
        <v>398</v>
      </c>
      <c r="G82" s="108"/>
      <c r="M82" s="117"/>
    </row>
    <row r="83" spans="2:22" ht="18" x14ac:dyDescent="0.25">
      <c r="B83" s="113">
        <f>(D83-E83)/C83*1000</f>
        <v>5.3879310344827589</v>
      </c>
      <c r="C83" s="92">
        <f>C63</f>
        <v>464</v>
      </c>
      <c r="D83" s="129">
        <v>11.5</v>
      </c>
      <c r="E83">
        <v>9</v>
      </c>
      <c r="F83">
        <f>E83-1.24</f>
        <v>7.76</v>
      </c>
      <c r="M83" s="117"/>
    </row>
    <row r="84" spans="2:22" ht="18" x14ac:dyDescent="0.25">
      <c r="B84" s="114">
        <f>(D84-E84)/C84*1000</f>
        <v>10.775862068965518</v>
      </c>
      <c r="C84" s="6">
        <f>C64</f>
        <v>464</v>
      </c>
      <c r="D84" s="129">
        <v>14</v>
      </c>
      <c r="E84">
        <v>9</v>
      </c>
      <c r="F84">
        <f>E84-1.24</f>
        <v>7.76</v>
      </c>
      <c r="M84" s="117"/>
    </row>
    <row r="85" spans="2:22" x14ac:dyDescent="0.2">
      <c r="B85" s="117"/>
      <c r="M85" s="117"/>
    </row>
    <row r="86" spans="2:22" x14ac:dyDescent="0.2">
      <c r="B86" s="117"/>
      <c r="M86" s="117"/>
      <c r="N86" s="121" t="s">
        <v>412</v>
      </c>
      <c r="O86" s="133">
        <f>D83</f>
        <v>11.5</v>
      </c>
      <c r="P86" s="6" t="s">
        <v>413</v>
      </c>
      <c r="Q86" s="6"/>
      <c r="R86" s="6"/>
      <c r="S86" s="121" t="s">
        <v>412</v>
      </c>
      <c r="T86" s="133">
        <f>D84</f>
        <v>14</v>
      </c>
      <c r="U86" s="6" t="s">
        <v>414</v>
      </c>
      <c r="V86" s="6"/>
    </row>
    <row r="87" spans="2:22" x14ac:dyDescent="0.2">
      <c r="B87" s="117"/>
      <c r="M87" s="117"/>
      <c r="N87" s="120" t="s">
        <v>399</v>
      </c>
      <c r="O87" s="115"/>
      <c r="P87" s="120" t="s">
        <v>406</v>
      </c>
      <c r="Q87" s="120"/>
      <c r="R87" s="115"/>
      <c r="S87" s="120" t="s">
        <v>399</v>
      </c>
      <c r="T87" s="115"/>
      <c r="U87" s="120" t="s">
        <v>406</v>
      </c>
    </row>
    <row r="88" spans="2:22" x14ac:dyDescent="0.2">
      <c r="B88" s="118" t="s">
        <v>404</v>
      </c>
      <c r="C88" s="109" t="s">
        <v>406</v>
      </c>
      <c r="D88" s="108" t="s">
        <v>399</v>
      </c>
      <c r="E88" s="108" t="s">
        <v>403</v>
      </c>
      <c r="F88" s="108" t="s">
        <v>397</v>
      </c>
      <c r="G88" s="108" t="s">
        <v>398</v>
      </c>
      <c r="H88" s="109" t="s">
        <v>402</v>
      </c>
      <c r="I88" s="109" t="s">
        <v>400</v>
      </c>
      <c r="J88" s="109" t="s">
        <v>401</v>
      </c>
      <c r="K88" s="108" t="s">
        <v>405</v>
      </c>
      <c r="M88" s="117"/>
      <c r="N88" s="115">
        <f>B83</f>
        <v>5.3879310344827589</v>
      </c>
      <c r="O88" s="115"/>
      <c r="P88" s="115">
        <f>B89</f>
        <v>-6.0557619525008532E-15</v>
      </c>
      <c r="Q88" s="115">
        <f>P88+N88</f>
        <v>5.3879310344827527</v>
      </c>
      <c r="R88" s="115"/>
      <c r="S88" s="115">
        <f>B84</f>
        <v>10.775862068965518</v>
      </c>
      <c r="T88" s="115"/>
      <c r="U88" s="115">
        <f>B90</f>
        <v>16.000000000000007</v>
      </c>
      <c r="V88" s="115">
        <f>U88+S88</f>
        <v>26.775862068965523</v>
      </c>
    </row>
    <row r="89" spans="2:22" x14ac:dyDescent="0.2">
      <c r="B89" s="113">
        <f>(E89-F89-1.7)/C89*1000</f>
        <v>-6.0557619525008532E-15</v>
      </c>
      <c r="C89" s="92">
        <f>C69</f>
        <v>110</v>
      </c>
      <c r="D89">
        <f>C83</f>
        <v>464</v>
      </c>
      <c r="E89" s="116">
        <f>F89+1.7</f>
        <v>12.239999999999998</v>
      </c>
      <c r="F89" s="112">
        <f>L89</f>
        <v>10.54</v>
      </c>
      <c r="G89" s="112">
        <f>F89*(J89/H89)</f>
        <v>9.2999999999999989</v>
      </c>
      <c r="H89" s="107">
        <f>I89+J89</f>
        <v>2890</v>
      </c>
      <c r="I89" s="123">
        <f>I69</f>
        <v>340</v>
      </c>
      <c r="J89" s="123">
        <f>J69</f>
        <v>2550</v>
      </c>
      <c r="K89" s="112">
        <f>1.24/I89*1000</f>
        <v>3.6470588235294117</v>
      </c>
      <c r="L89" s="112">
        <f>(K89*H89)/1000</f>
        <v>10.54</v>
      </c>
      <c r="M89" s="117"/>
      <c r="N89" s="115"/>
      <c r="O89" s="115"/>
      <c r="P89" s="115"/>
      <c r="Q89" s="115"/>
      <c r="R89" s="115"/>
      <c r="S89" s="115"/>
      <c r="T89" s="115"/>
      <c r="U89" s="115"/>
      <c r="V89" s="115"/>
    </row>
    <row r="90" spans="2:22" x14ac:dyDescent="0.2">
      <c r="B90" s="114">
        <f>(E90-F90-1.7)/C90*1000</f>
        <v>16.000000000000007</v>
      </c>
      <c r="C90" s="6">
        <f>C70</f>
        <v>110</v>
      </c>
      <c r="D90">
        <f>C83</f>
        <v>464</v>
      </c>
      <c r="E90" s="113">
        <f>D84</f>
        <v>14</v>
      </c>
      <c r="F90" s="112">
        <f>L90</f>
        <v>10.54</v>
      </c>
      <c r="G90" s="112">
        <f>F90-1.24</f>
        <v>9.2999999999999989</v>
      </c>
      <c r="H90" s="107">
        <f>H89</f>
        <v>2890</v>
      </c>
      <c r="I90" s="107">
        <f t="shared" ref="I90" si="100">I89</f>
        <v>340</v>
      </c>
      <c r="J90" s="107">
        <f t="shared" ref="J90" si="101">J89</f>
        <v>2550</v>
      </c>
      <c r="K90" s="112">
        <f>1.24/I90*1000</f>
        <v>3.6470588235294117</v>
      </c>
      <c r="L90" s="112">
        <f>(K90*H90)/1000</f>
        <v>10.54</v>
      </c>
      <c r="M90" s="117"/>
      <c r="N90" s="115"/>
      <c r="O90" s="115"/>
      <c r="P90" s="115"/>
      <c r="Q90" s="115"/>
      <c r="R90" s="115"/>
      <c r="S90" s="115"/>
      <c r="T90" s="115"/>
      <c r="U90" s="115"/>
      <c r="V90" s="115"/>
    </row>
    <row r="91" spans="2:22" x14ac:dyDescent="0.2">
      <c r="B91" s="117"/>
      <c r="C91" s="6"/>
      <c r="M91" s="117"/>
      <c r="N91" s="132" t="s">
        <v>410</v>
      </c>
      <c r="O91" s="115"/>
      <c r="P91" s="120" t="s">
        <v>411</v>
      </c>
      <c r="Q91" s="120"/>
      <c r="R91" s="115"/>
      <c r="S91" s="132" t="s">
        <v>410</v>
      </c>
      <c r="T91" s="115"/>
      <c r="U91" s="120" t="s">
        <v>411</v>
      </c>
      <c r="V91" s="120"/>
    </row>
    <row r="92" spans="2:22" ht="18" x14ac:dyDescent="0.25">
      <c r="B92" s="117"/>
      <c r="N92" s="131">
        <f>B94</f>
        <v>1.740872210953341</v>
      </c>
      <c r="O92" s="115"/>
      <c r="P92" s="115">
        <f>K89</f>
        <v>3.6470588235294117</v>
      </c>
      <c r="Q92" s="115">
        <f>P92+N92</f>
        <v>5.3879310344827527</v>
      </c>
      <c r="R92" s="115"/>
      <c r="S92" s="130">
        <f>B95</f>
        <v>23.12880324543611</v>
      </c>
      <c r="T92" s="115"/>
      <c r="U92" s="115">
        <f>K90</f>
        <v>3.6470588235294117</v>
      </c>
      <c r="V92" s="115">
        <f>U92+S92</f>
        <v>26.775862068965523</v>
      </c>
    </row>
    <row r="93" spans="2:22" x14ac:dyDescent="0.2">
      <c r="B93" s="119" t="s">
        <v>409</v>
      </c>
      <c r="N93" s="115"/>
      <c r="O93" s="115"/>
      <c r="P93" s="115"/>
      <c r="Q93" s="115"/>
      <c r="R93" s="115"/>
      <c r="S93" s="115"/>
      <c r="T93" s="115"/>
      <c r="U93" s="115"/>
    </row>
    <row r="94" spans="2:22" x14ac:dyDescent="0.2">
      <c r="B94" s="135">
        <f>B89+B83-K89</f>
        <v>1.740872210953341</v>
      </c>
      <c r="E94">
        <v>10.7</v>
      </c>
    </row>
    <row r="95" spans="2:22" x14ac:dyDescent="0.2">
      <c r="B95" s="136">
        <f>B90+B84-K90</f>
        <v>23.12880324543611</v>
      </c>
      <c r="E95">
        <v>13.5</v>
      </c>
    </row>
    <row r="96" spans="2:22" x14ac:dyDescent="0.2">
      <c r="B96" s="117"/>
    </row>
  </sheetData>
  <pageMargins left="0.7" right="0.7" top="0.75" bottom="0.75" header="0.3" footer="0.3"/>
  <pageSetup scale="97"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Mk VI Modules - BOM</vt:lpstr>
      <vt:lpstr>PCB - BOM</vt:lpstr>
      <vt:lpstr>design calculations</vt:lpstr>
      <vt:lpstr>'design calculations'!Print_Area</vt:lpstr>
      <vt:lpstr>'Mk VI Modules - BOM'!Print_Area</vt:lpstr>
      <vt:lpstr>'PCB - BOM'!Print_Area</vt:lpstr>
    </vt:vector>
  </TitlesOfParts>
  <Company>INVENTURE MANAGEMENT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Alvey</dc:creator>
  <cp:lastModifiedBy>Steve Alvey</cp:lastModifiedBy>
  <cp:lastPrinted>2023-08-04T19:54:12Z</cp:lastPrinted>
  <dcterms:created xsi:type="dcterms:W3CDTF">2000-12-30T00:13:52Z</dcterms:created>
  <dcterms:modified xsi:type="dcterms:W3CDTF">2023-11-01T21:12:20Z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S9Connected">
    <vt:bool>true</vt:bool>
  </property>
</Properties>
</file>