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anedunu\Documents\Power BI\Udemy\personal finance project\"/>
    </mc:Choice>
  </mc:AlternateContent>
  <xr:revisionPtr revIDLastSave="0" documentId="13_ncr:1_{61A34FC9-EABD-4850-9D58-E270A95A3736}" xr6:coauthVersionLast="47" xr6:coauthVersionMax="47" xr10:uidLastSave="{00000000-0000-0000-0000-000000000000}"/>
  <bookViews>
    <workbookView xWindow="-110" yWindow="-110" windowWidth="19420" windowHeight="10300" xr2:uid="{D21586CD-1786-42C7-8642-55D0ED702393}"/>
  </bookViews>
  <sheets>
    <sheet name="Expense Tracker" sheetId="1" r:id="rId1"/>
    <sheet name="Monthly Expense Dashboard" sheetId="2" r:id="rId2"/>
    <sheet name="Loan Payment Calculator" sheetId="3" r:id="rId3"/>
    <sheet name="Investment Calculator" sheetId="6" r:id="rId4"/>
    <sheet name="Investment Calculator (Extra)" sheetId="4" state="hidden" r:id="rId5"/>
    <sheet name="Data Tables" sheetId="5" r:id="rId6"/>
  </sheet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E7" i="2"/>
  <c r="M2" i="2" s="1"/>
  <c r="J15" i="2"/>
  <c r="K15" i="2" s="1"/>
  <c r="J14" i="2"/>
  <c r="K14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G6" i="1" a="1"/>
  <c r="G6" i="1" s="1"/>
  <c r="D24" i="1"/>
  <c r="O31" i="2"/>
  <c r="I31" i="2"/>
  <c r="D31" i="2"/>
  <c r="D13" i="6"/>
  <c r="D17" i="6" s="1"/>
  <c r="D19" i="6"/>
  <c r="E31" i="2" l="1"/>
  <c r="J31" i="2"/>
  <c r="H5" i="3"/>
  <c r="I5" i="3" s="1"/>
  <c r="D15" i="3"/>
  <c r="I9" i="4"/>
  <c r="D13" i="4" s="1"/>
  <c r="M3" i="2" l="1"/>
  <c r="M4" i="2"/>
  <c r="K5" i="3"/>
  <c r="L5" i="3" s="1"/>
  <c r="H6" i="3" s="1"/>
  <c r="M5" i="4"/>
  <c r="N5" i="4" s="1"/>
  <c r="O5" i="4" s="1"/>
  <c r="M6" i="4" s="1"/>
  <c r="D21" i="4"/>
  <c r="D19" i="4" s="1"/>
  <c r="D17" i="3"/>
  <c r="J5" i="3" l="1"/>
  <c r="I6" i="3"/>
  <c r="K6" i="3"/>
  <c r="N6" i="4"/>
  <c r="O6" i="4" s="1"/>
  <c r="M7" i="4" s="1"/>
  <c r="N7" i="4" s="1"/>
  <c r="O7" i="4" s="1"/>
  <c r="M8" i="4" s="1"/>
  <c r="J6" i="3" l="1"/>
  <c r="L6" i="3"/>
  <c r="H7" i="3" s="1"/>
  <c r="I7" i="3" s="1"/>
  <c r="N8" i="4"/>
  <c r="O8" i="4" s="1"/>
  <c r="M9" i="4" s="1"/>
  <c r="K7" i="3" l="1"/>
  <c r="J7" i="3" s="1"/>
  <c r="N9" i="4"/>
  <c r="O9" i="4" s="1"/>
  <c r="M10" i="4" s="1"/>
  <c r="L7" i="3" l="1"/>
  <c r="H8" i="3" s="1"/>
  <c r="K8" i="3" s="1"/>
  <c r="N10" i="4"/>
  <c r="O10" i="4" s="1"/>
  <c r="M11" i="4" s="1"/>
  <c r="I8" i="3" l="1"/>
  <c r="J8" i="3" s="1"/>
  <c r="N11" i="4"/>
  <c r="O11" i="4" s="1"/>
  <c r="M12" i="4" s="1"/>
  <c r="N12" i="4" s="1"/>
  <c r="O12" i="4" s="1"/>
  <c r="M13" i="4" s="1"/>
  <c r="N13" i="4" s="1"/>
  <c r="O13" i="4" s="1"/>
  <c r="M14" i="4" s="1"/>
  <c r="L8" i="3" l="1"/>
  <c r="H9" i="3" s="1"/>
  <c r="I9" i="3" s="1"/>
  <c r="N14" i="4"/>
  <c r="O14" i="4" s="1"/>
  <c r="M15" i="4" s="1"/>
  <c r="N15" i="4" s="1"/>
  <c r="O15" i="4" s="1"/>
  <c r="M16" i="4" s="1"/>
  <c r="K9" i="3" l="1"/>
  <c r="J9" i="3" s="1"/>
  <c r="N16" i="4"/>
  <c r="O16" i="4" s="1"/>
  <c r="M17" i="4" s="1"/>
  <c r="L9" i="3" l="1"/>
  <c r="H10" i="3" s="1"/>
  <c r="K10" i="3" s="1"/>
  <c r="N17" i="4"/>
  <c r="O17" i="4" s="1"/>
  <c r="M18" i="4" s="1"/>
  <c r="I10" i="3" l="1"/>
  <c r="L10" i="3" s="1"/>
  <c r="H11" i="3" s="1"/>
  <c r="K11" i="3" s="1"/>
  <c r="N18" i="4"/>
  <c r="O18" i="4" s="1"/>
  <c r="M19" i="4" s="1"/>
  <c r="J10" i="3" l="1"/>
  <c r="I11" i="3"/>
  <c r="J11" i="3" s="1"/>
  <c r="N19" i="4"/>
  <c r="O19" i="4" s="1"/>
  <c r="M20" i="4" s="1"/>
  <c r="L11" i="3" l="1"/>
  <c r="H12" i="3" s="1"/>
  <c r="I12" i="3" s="1"/>
  <c r="N20" i="4"/>
  <c r="O20" i="4" s="1"/>
  <c r="M21" i="4" s="1"/>
  <c r="K12" i="3" l="1"/>
  <c r="J12" i="3" s="1"/>
  <c r="N21" i="4"/>
  <c r="O21" i="4" s="1"/>
  <c r="M22" i="4" s="1"/>
  <c r="L12" i="3" l="1"/>
  <c r="H13" i="3" s="1"/>
  <c r="K13" i="3" s="1"/>
  <c r="I13" i="3"/>
  <c r="N22" i="4"/>
  <c r="O22" i="4" s="1"/>
  <c r="M23" i="4" s="1"/>
  <c r="J13" i="3" l="1"/>
  <c r="L13" i="3"/>
  <c r="H14" i="3" s="1"/>
  <c r="N23" i="4"/>
  <c r="O23" i="4" s="1"/>
  <c r="M24" i="4" s="1"/>
  <c r="I14" i="3" l="1"/>
  <c r="K14" i="3"/>
  <c r="N24" i="4"/>
  <c r="O24" i="4"/>
  <c r="J14" i="3" l="1"/>
  <c r="L14" i="3"/>
  <c r="H15" i="3" s="1"/>
  <c r="K15" i="3" s="1"/>
  <c r="I15" i="3" l="1"/>
  <c r="L15" i="3" s="1"/>
  <c r="H16" i="3" s="1"/>
  <c r="K16" i="3" s="1"/>
  <c r="J15" i="3" l="1"/>
  <c r="I16" i="3"/>
  <c r="J16" i="3" s="1"/>
  <c r="L16" i="3" l="1"/>
  <c r="H17" i="3" s="1"/>
  <c r="K17" i="3" s="1"/>
  <c r="I17" i="3" l="1"/>
  <c r="J17" i="3" s="1"/>
  <c r="L17" i="3" l="1"/>
  <c r="H18" i="3" s="1"/>
  <c r="I18" i="3"/>
  <c r="K18" i="3"/>
  <c r="L18" i="3" l="1"/>
  <c r="H19" i="3" s="1"/>
  <c r="K19" i="3" s="1"/>
  <c r="J18" i="3"/>
  <c r="I19" i="3" l="1"/>
  <c r="L19" i="3" s="1"/>
  <c r="H20" i="3" s="1"/>
  <c r="I20" i="3" l="1"/>
  <c r="K20" i="3"/>
  <c r="J19" i="3"/>
  <c r="L20" i="3"/>
  <c r="H21" i="3" s="1"/>
  <c r="I21" i="3" s="1"/>
  <c r="J20" i="3"/>
  <c r="K21" i="3" l="1"/>
  <c r="L21" i="3" s="1"/>
  <c r="H22" i="3" s="1"/>
  <c r="I22" i="3" l="1"/>
  <c r="L22" i="3" s="1"/>
  <c r="H23" i="3" s="1"/>
  <c r="K22" i="3"/>
  <c r="J21" i="3"/>
  <c r="I23" i="3" l="1"/>
  <c r="K23" i="3"/>
  <c r="J22" i="3"/>
  <c r="L23" i="3"/>
  <c r="H24" i="3" s="1"/>
  <c r="J23" i="3"/>
  <c r="I24" i="3"/>
  <c r="K24" i="3"/>
  <c r="L24" i="3" l="1"/>
  <c r="H25" i="3" s="1"/>
  <c r="K25" i="3" s="1"/>
  <c r="J24" i="3"/>
  <c r="I25" i="3" l="1"/>
  <c r="L25" i="3" s="1"/>
  <c r="H26" i="3" s="1"/>
  <c r="I26" i="3" l="1"/>
  <c r="L26" i="3" s="1"/>
  <c r="H27" i="3" s="1"/>
  <c r="K26" i="3"/>
  <c r="J25" i="3"/>
  <c r="K27" i="3" l="1"/>
  <c r="L27" i="3" s="1"/>
  <c r="H28" i="3" s="1"/>
  <c r="I27" i="3"/>
  <c r="J27" i="3" s="1"/>
  <c r="J26" i="3"/>
  <c r="K28" i="3" l="1"/>
  <c r="I28" i="3"/>
  <c r="L28" i="3" s="1"/>
  <c r="H29" i="3" s="1"/>
  <c r="J28" i="3" l="1"/>
  <c r="K29" i="3"/>
  <c r="I29" i="3"/>
  <c r="J29" i="3" l="1"/>
  <c r="L29" i="3"/>
  <c r="H30" i="3" s="1"/>
  <c r="K30" i="3" l="1"/>
  <c r="I30" i="3"/>
  <c r="L30" i="3" l="1"/>
  <c r="H31" i="3" s="1"/>
  <c r="J30" i="3"/>
  <c r="K31" i="3" l="1"/>
  <c r="I31" i="3"/>
  <c r="J31" i="3" s="1"/>
  <c r="L31" i="3" l="1"/>
  <c r="H32" i="3" s="1"/>
  <c r="I32" i="3" s="1"/>
  <c r="K32" i="3" l="1"/>
  <c r="J32" i="3"/>
  <c r="L32" i="3"/>
  <c r="H33" i="3" s="1"/>
  <c r="I33" i="3" l="1"/>
  <c r="K33" i="3"/>
  <c r="J33" i="3" l="1"/>
  <c r="L33" i="3"/>
  <c r="H34" i="3" s="1"/>
  <c r="K34" i="3" l="1"/>
  <c r="I34" i="3"/>
  <c r="L34" i="3" l="1"/>
  <c r="H35" i="3" s="1"/>
  <c r="J34" i="3"/>
  <c r="K35" i="3" l="1"/>
  <c r="I35" i="3"/>
  <c r="J35" i="3" l="1"/>
  <c r="L35" i="3"/>
  <c r="H36" i="3" s="1"/>
  <c r="K36" i="3" l="1"/>
  <c r="I36" i="3"/>
  <c r="J36" i="3" s="1"/>
  <c r="L36" i="3" l="1"/>
  <c r="H37" i="3" s="1"/>
  <c r="K37" i="3"/>
  <c r="I37" i="3"/>
  <c r="J37" i="3" s="1"/>
  <c r="L37" i="3" l="1"/>
  <c r="H38" i="3" s="1"/>
  <c r="I38" i="3" s="1"/>
  <c r="K38" i="3" l="1"/>
  <c r="J38" i="3"/>
  <c r="L38" i="3"/>
  <c r="H39" i="3" s="1"/>
  <c r="K39" i="3" l="1"/>
  <c r="I39" i="3"/>
  <c r="J39" i="3" l="1"/>
  <c r="L39" i="3"/>
  <c r="H40" i="3" s="1"/>
  <c r="K40" i="3" l="1"/>
  <c r="I40" i="3"/>
  <c r="L40" i="3" l="1"/>
  <c r="H41" i="3" s="1"/>
  <c r="J40" i="3"/>
  <c r="K41" i="3" l="1"/>
  <c r="I41" i="3"/>
  <c r="J41" i="3" l="1"/>
  <c r="L41" i="3"/>
  <c r="H42" i="3" s="1"/>
  <c r="K42" i="3" l="1"/>
  <c r="I42" i="3"/>
  <c r="J42" i="3" l="1"/>
  <c r="L42" i="3"/>
  <c r="H43" i="3" s="1"/>
  <c r="K43" i="3" l="1"/>
  <c r="I43" i="3"/>
  <c r="J43" i="3" l="1"/>
  <c r="L43" i="3"/>
  <c r="H44" i="3" s="1"/>
  <c r="I44" i="3" l="1"/>
  <c r="K44" i="3"/>
  <c r="J44" i="3" l="1"/>
  <c r="L44" i="3"/>
  <c r="H45" i="3" s="1"/>
  <c r="K45" i="3" l="1"/>
  <c r="I45" i="3"/>
  <c r="J45" i="3" l="1"/>
  <c r="L45" i="3"/>
  <c r="H46" i="3" s="1"/>
  <c r="I46" i="3" l="1"/>
  <c r="K46" i="3"/>
  <c r="J46" i="3" l="1"/>
  <c r="L46" i="3"/>
  <c r="H47" i="3" s="1"/>
  <c r="I47" i="3" l="1"/>
  <c r="K47" i="3"/>
  <c r="J47" i="3" l="1"/>
  <c r="L47" i="3"/>
  <c r="H48" i="3" s="1"/>
  <c r="K48" i="3" l="1"/>
  <c r="I48" i="3"/>
  <c r="J48" i="3" s="1"/>
  <c r="L48" i="3" l="1"/>
  <c r="H49" i="3" s="1"/>
  <c r="K49" i="3" l="1"/>
  <c r="I49" i="3"/>
  <c r="J49" i="3" l="1"/>
  <c r="L49" i="3"/>
  <c r="H50" i="3" s="1"/>
  <c r="I50" i="3" l="1"/>
  <c r="K50" i="3"/>
  <c r="L50" i="3" l="1"/>
  <c r="H51" i="3" s="1"/>
  <c r="I51" i="3" s="1"/>
  <c r="J50" i="3"/>
  <c r="K51" i="3" l="1"/>
  <c r="J51" i="3" s="1"/>
  <c r="L51" i="3"/>
  <c r="H52" i="3" s="1"/>
  <c r="K52" i="3" l="1"/>
  <c r="I52" i="3"/>
  <c r="J52" i="3" s="1"/>
  <c r="L52" i="3" l="1"/>
  <c r="H53" i="3" s="1"/>
  <c r="K53" i="3" l="1"/>
  <c r="I53" i="3"/>
  <c r="J53" i="3" s="1"/>
  <c r="L53" i="3" l="1"/>
  <c r="H54" i="3" s="1"/>
  <c r="K54" i="3" s="1"/>
  <c r="I54" i="3" l="1"/>
  <c r="J54" i="3" s="1"/>
  <c r="L54" i="3"/>
  <c r="H55" i="3" s="1"/>
  <c r="I55" i="3" l="1"/>
  <c r="K55" i="3"/>
  <c r="L55" i="3" l="1"/>
  <c r="H56" i="3" s="1"/>
  <c r="J55" i="3"/>
  <c r="I56" i="3"/>
  <c r="K56" i="3"/>
  <c r="L56" i="3" l="1"/>
  <c r="H57" i="3" s="1"/>
  <c r="K57" i="3" s="1"/>
  <c r="J56" i="3"/>
  <c r="I57" i="3" l="1"/>
  <c r="J57" i="3" s="1"/>
  <c r="L57" i="3"/>
  <c r="H58" i="3" s="1"/>
  <c r="I58" i="3" l="1"/>
  <c r="K58" i="3"/>
  <c r="L58" i="3" l="1"/>
  <c r="H59" i="3" s="1"/>
  <c r="I59" i="3"/>
  <c r="K59" i="3"/>
  <c r="J58" i="3"/>
  <c r="L59" i="3" l="1"/>
  <c r="H60" i="3" s="1"/>
  <c r="K60" i="3" s="1"/>
  <c r="J59" i="3"/>
  <c r="I60" i="3"/>
  <c r="J60" i="3" l="1"/>
  <c r="L60" i="3"/>
  <c r="H61" i="3" s="1"/>
  <c r="K61" i="3" s="1"/>
  <c r="I61" i="3" l="1"/>
  <c r="L61" i="3" s="1"/>
  <c r="H62" i="3" s="1"/>
  <c r="J61" i="3" l="1"/>
  <c r="I62" i="3"/>
  <c r="K62" i="3"/>
  <c r="L62" i="3" l="1"/>
  <c r="H63" i="3" s="1"/>
  <c r="I63" i="3"/>
  <c r="K63" i="3"/>
  <c r="J62" i="3"/>
  <c r="L63" i="3" l="1"/>
  <c r="H64" i="3" s="1"/>
  <c r="I64" i="3"/>
  <c r="K64" i="3"/>
  <c r="J63" i="3"/>
  <c r="L64" i="3" l="1"/>
  <c r="J6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<sst xmlns="http://schemas.openxmlformats.org/spreadsheetml/2006/main" count="118" uniqueCount="73">
  <si>
    <t>AMOUNT</t>
  </si>
  <si>
    <t>INTEREST</t>
  </si>
  <si>
    <t># PAYMENTS</t>
  </si>
  <si>
    <t>MONTHLY PAYMENT</t>
  </si>
  <si>
    <t>LOAN CALCULATOR</t>
  </si>
  <si>
    <t>INITIAL AMOUNT</t>
  </si>
  <si>
    <t>MONTHS</t>
  </si>
  <si>
    <t>MONTHLY INVESTMENT</t>
  </si>
  <si>
    <t>FINAL AMOUNT</t>
  </si>
  <si>
    <t>INVESTMENT CALCULATOR</t>
  </si>
  <si>
    <t>TOTAL INTEREST EARNED</t>
  </si>
  <si>
    <t>TOTAL CONTRIBUTED</t>
  </si>
  <si>
    <t>TOTAL INTEREST PAID</t>
  </si>
  <si>
    <t>TOTAL PAID</t>
  </si>
  <si>
    <t>YEARLY SALARY</t>
  </si>
  <si>
    <t>EMPLOYER MATCH</t>
  </si>
  <si>
    <t>EMPLOYER %</t>
  </si>
  <si>
    <t>EMPLOYER CONTRIBUTION</t>
  </si>
  <si>
    <t>Year</t>
  </si>
  <si>
    <t>Start Amount</t>
  </si>
  <si>
    <t>Retirement Salary</t>
  </si>
  <si>
    <t>Balance</t>
  </si>
  <si>
    <t>20 YEAR RETIREMENT</t>
  </si>
  <si>
    <t>MONTH</t>
  </si>
  <si>
    <t>BALANCE</t>
  </si>
  <si>
    <t>PAYMENT</t>
  </si>
  <si>
    <t>LOAN PAYMENT DETAILS</t>
  </si>
  <si>
    <t>PRINCIPAL</t>
  </si>
  <si>
    <t xml:space="preserve">BILL </t>
  </si>
  <si>
    <t>DUE DATE</t>
  </si>
  <si>
    <t>ACTUAL</t>
  </si>
  <si>
    <t>DIFF</t>
  </si>
  <si>
    <t>BILLS</t>
  </si>
  <si>
    <t>Rent</t>
  </si>
  <si>
    <t>Water</t>
  </si>
  <si>
    <t>Garbage</t>
  </si>
  <si>
    <t>Gas</t>
  </si>
  <si>
    <t>Internet</t>
  </si>
  <si>
    <t>Phone</t>
  </si>
  <si>
    <t>Car</t>
  </si>
  <si>
    <t>Insurance</t>
  </si>
  <si>
    <t>Electric</t>
  </si>
  <si>
    <t>Credit Card</t>
  </si>
  <si>
    <t>Total</t>
  </si>
  <si>
    <t>EXPENSES</t>
  </si>
  <si>
    <t>EXPENSE</t>
  </si>
  <si>
    <t>BUDGET</t>
  </si>
  <si>
    <t>Food</t>
  </si>
  <si>
    <t>Entertainment</t>
  </si>
  <si>
    <t>Car Repair</t>
  </si>
  <si>
    <t>Trip</t>
  </si>
  <si>
    <t>SUBSCRIPTIONS</t>
  </si>
  <si>
    <t>NAME</t>
  </si>
  <si>
    <t>Netflix</t>
  </si>
  <si>
    <t>Disney+</t>
  </si>
  <si>
    <t>DATE</t>
  </si>
  <si>
    <t>DESCRIPTION</t>
  </si>
  <si>
    <t>EXPENSE TRACKER</t>
  </si>
  <si>
    <t>Health insurance</t>
  </si>
  <si>
    <t>Sep Car payment</t>
  </si>
  <si>
    <t>Row Labels</t>
  </si>
  <si>
    <t>Grand Total</t>
  </si>
  <si>
    <t>Sum of AMOUNT</t>
  </si>
  <si>
    <t>Percent</t>
  </si>
  <si>
    <t>INCOME</t>
  </si>
  <si>
    <t>Paycheck1</t>
  </si>
  <si>
    <t>Side hustle</t>
  </si>
  <si>
    <t>Upskill course</t>
  </si>
  <si>
    <t>Charity</t>
  </si>
  <si>
    <t>Art works</t>
  </si>
  <si>
    <t>KuKu FM</t>
  </si>
  <si>
    <t>Piano tutor</t>
  </si>
  <si>
    <t>Dot Mandala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</si>
</sst>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 [$₹-4009]\ * #,##0.00_ ;_ [$₹-4009]\ * \-#,##0.00_ ;_ [$₹-4009]\ * &quot;-&quot;??_ ;_ @_ "/>
    <numFmt numFmtId="167" formatCode="&quot;₹&quot;\ #,##0.00"/>
  </numFmts>
  <fonts count="7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1"/>
      <color theme="0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18"/>
      <color theme="1"/>
      <name val="Corbel"/>
      <family val="2"/>
      <scheme val="minor"/>
    </font>
    <font>
      <b/>
      <sz val="16"/>
      <color theme="1"/>
      <name val="Corbel"/>
      <family val="2"/>
      <scheme val="minor"/>
    </font>
    <font>
      <sz val="16"/>
      <color theme="1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left" indent="1"/>
    </xf>
    <xf numFmtId="0" fontId="0" fillId="2" borderId="0" xfId="0" applyFill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 applyProtection="1">
      <protection locked="0"/>
    </xf>
    <xf numFmtId="165" fontId="0" fillId="3" borderId="1" xfId="1" applyFont="1" applyFill="1" applyBorder="1"/>
    <xf numFmtId="9" fontId="0" fillId="3" borderId="1" xfId="2" applyFont="1" applyFill="1" applyBorder="1"/>
    <xf numFmtId="164" fontId="0" fillId="3" borderId="1" xfId="1" applyNumberFormat="1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 applyAlignment="1">
      <alignment horizontal="left" indent="1"/>
    </xf>
    <xf numFmtId="0" fontId="0" fillId="4" borderId="0" xfId="0" applyFill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5" xfId="0" applyFont="1" applyFill="1" applyBorder="1" applyAlignment="1">
      <alignment horizontal="left" inden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6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165" fontId="0" fillId="5" borderId="0" xfId="1" applyFont="1" applyFill="1" applyBorder="1"/>
    <xf numFmtId="165" fontId="0" fillId="4" borderId="0" xfId="1" applyFont="1" applyFill="1" applyBorder="1"/>
    <xf numFmtId="164" fontId="0" fillId="0" borderId="0" xfId="0" applyNumberFormat="1"/>
    <xf numFmtId="165" fontId="0" fillId="0" borderId="0" xfId="0" applyNumberFormat="1"/>
    <xf numFmtId="10" fontId="0" fillId="3" borderId="1" xfId="2" applyNumberFormat="1" applyFont="1" applyFill="1" applyBorder="1" applyProtection="1">
      <protection locked="0"/>
    </xf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6" fontId="0" fillId="3" borderId="1" xfId="1" applyNumberFormat="1" applyFont="1" applyFill="1" applyBorder="1" applyProtection="1">
      <protection locked="0"/>
    </xf>
    <xf numFmtId="166" fontId="0" fillId="3" borderId="1" xfId="1" applyNumberFormat="1" applyFont="1" applyFill="1" applyBorder="1"/>
    <xf numFmtId="166" fontId="0" fillId="0" borderId="0" xfId="1" applyNumberFormat="1" applyFont="1"/>
    <xf numFmtId="166" fontId="3" fillId="3" borderId="1" xfId="1" applyNumberFormat="1" applyFont="1" applyFill="1" applyBorder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21"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numFmt numFmtId="166" formatCode="_ [$₹-4009]\ * #,##0.00_ ;_ [$₹-4009]\ * \-#,##0.00_ ;_ [$₹-4009]\ * &quot;-&quot;??_ ;_ @_ 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4" formatCode="&quot;$&quot;#,##0.00_);[Red]\(&quot;$&quot;#,##0.00\)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[PersonalFinanaces-01.xlsx]Monthly Expense Dashboard!PivotTable1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'Monthly Expense Dashboard'!$C$34</c:f>
              <c:strCache>
                <c:ptCount val="1"/>
                <c:pt idx="0">
                  <c:v>Sum of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24-4A1E-A37F-E6D78CB752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24-4A1E-A37F-E6D78CB752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24-4A1E-A37F-E6D78CB752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24-4A1E-A37F-E6D78CB752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24-4A1E-A37F-E6D78CB752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24-4A1E-A37F-E6D78CB752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24-4A1E-A37F-E6D78CB752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24-4A1E-A37F-E6D78CB752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24-4A1E-A37F-E6D78CB752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024-4A1E-A37F-E6D78CB752A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024-4A1E-A37F-E6D78CB752AF}"/>
              </c:ext>
            </c:extLst>
          </c:dPt>
          <c:cat>
            <c:strRef>
              <c:f>'Monthly Expense Dashboard'!$B$35:$B$46</c:f>
              <c:strCache>
                <c:ptCount val="11"/>
                <c:pt idx="0">
                  <c:v>Car</c:v>
                </c:pt>
                <c:pt idx="1">
                  <c:v>Credit Card</c:v>
                </c:pt>
                <c:pt idx="2">
                  <c:v>Disney+</c:v>
                </c:pt>
                <c:pt idx="3">
                  <c:v>Entertainment</c:v>
                </c:pt>
                <c:pt idx="4">
                  <c:v>Food</c:v>
                </c:pt>
                <c:pt idx="5">
                  <c:v>Garbage</c:v>
                </c:pt>
                <c:pt idx="6">
                  <c:v>Gas</c:v>
                </c:pt>
                <c:pt idx="7">
                  <c:v>Internet</c:v>
                </c:pt>
                <c:pt idx="8">
                  <c:v>Netflix</c:v>
                </c:pt>
                <c:pt idx="9">
                  <c:v>Rent</c:v>
                </c:pt>
                <c:pt idx="10">
                  <c:v>Water</c:v>
                </c:pt>
              </c:strCache>
            </c:strRef>
          </c:cat>
          <c:val>
            <c:numRef>
              <c:f>'Monthly Expense Dashboard'!$C$35:$C$46</c:f>
              <c:numCache>
                <c:formatCode>"₹"\ #,##0.00</c:formatCode>
                <c:ptCount val="11"/>
                <c:pt idx="0">
                  <c:v>150</c:v>
                </c:pt>
                <c:pt idx="1">
                  <c:v>175</c:v>
                </c:pt>
                <c:pt idx="2">
                  <c:v>7.99</c:v>
                </c:pt>
                <c:pt idx="3">
                  <c:v>60</c:v>
                </c:pt>
                <c:pt idx="4">
                  <c:v>200</c:v>
                </c:pt>
                <c:pt idx="5">
                  <c:v>29</c:v>
                </c:pt>
                <c:pt idx="6">
                  <c:v>20</c:v>
                </c:pt>
                <c:pt idx="7">
                  <c:v>80</c:v>
                </c:pt>
                <c:pt idx="8">
                  <c:v>12.99</c:v>
                </c:pt>
                <c:pt idx="9">
                  <c:v>900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7-4EAF-B9C9-06198D886766}"/>
            </c:ext>
          </c:extLst>
        </c:ser>
        <c:ser>
          <c:idx val="1"/>
          <c:order val="1"/>
          <c:tx>
            <c:strRef>
              <c:f>'Monthly Expense Dashboard'!$D$34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024-4A1E-A37F-E6D78CB752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024-4A1E-A37F-E6D78CB752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024-4A1E-A37F-E6D78CB752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024-4A1E-A37F-E6D78CB752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024-4A1E-A37F-E6D78CB752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024-4A1E-A37F-E6D78CB752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024-4A1E-A37F-E6D78CB752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024-4A1E-A37F-E6D78CB752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024-4A1E-A37F-E6D78CB752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024-4A1E-A37F-E6D78CB752A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024-4A1E-A37F-E6D78CB752AF}"/>
              </c:ext>
            </c:extLst>
          </c:dPt>
          <c:cat>
            <c:strRef>
              <c:f>'Monthly Expense Dashboard'!$B$35:$B$46</c:f>
              <c:strCache>
                <c:ptCount val="11"/>
                <c:pt idx="0">
                  <c:v>Car</c:v>
                </c:pt>
                <c:pt idx="1">
                  <c:v>Credit Card</c:v>
                </c:pt>
                <c:pt idx="2">
                  <c:v>Disney+</c:v>
                </c:pt>
                <c:pt idx="3">
                  <c:v>Entertainment</c:v>
                </c:pt>
                <c:pt idx="4">
                  <c:v>Food</c:v>
                </c:pt>
                <c:pt idx="5">
                  <c:v>Garbage</c:v>
                </c:pt>
                <c:pt idx="6">
                  <c:v>Gas</c:v>
                </c:pt>
                <c:pt idx="7">
                  <c:v>Internet</c:v>
                </c:pt>
                <c:pt idx="8">
                  <c:v>Netflix</c:v>
                </c:pt>
                <c:pt idx="9">
                  <c:v>Rent</c:v>
                </c:pt>
                <c:pt idx="10">
                  <c:v>Water</c:v>
                </c:pt>
              </c:strCache>
            </c:strRef>
          </c:cat>
          <c:val>
            <c:numRef>
              <c:f>'Monthly Expense Dashboard'!$D$35:$D$46</c:f>
              <c:numCache>
                <c:formatCode>0.00%</c:formatCode>
                <c:ptCount val="11"/>
                <c:pt idx="0">
                  <c:v>9.0635536381104304E-2</c:v>
                </c:pt>
                <c:pt idx="1">
                  <c:v>0.10574145911128835</c:v>
                </c:pt>
                <c:pt idx="2">
                  <c:v>4.827852904566823E-3</c:v>
                </c:pt>
                <c:pt idx="3">
                  <c:v>3.6254214552441724E-2</c:v>
                </c:pt>
                <c:pt idx="4">
                  <c:v>0.12084738184147241</c:v>
                </c:pt>
                <c:pt idx="5">
                  <c:v>1.7522870367013499E-2</c:v>
                </c:pt>
                <c:pt idx="6">
                  <c:v>1.208473818414724E-2</c:v>
                </c:pt>
                <c:pt idx="7">
                  <c:v>4.8338952736588961E-2</c:v>
                </c:pt>
                <c:pt idx="8">
                  <c:v>7.8490374506036322E-3</c:v>
                </c:pt>
                <c:pt idx="9">
                  <c:v>0.54381321828662577</c:v>
                </c:pt>
                <c:pt idx="10">
                  <c:v>1.208473818414724E-2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7-4EAF-B9C9-06198D886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67232035831438"/>
          <c:y val="2.8908010322424502E-2"/>
          <c:w val="0.75398674983311675"/>
          <c:h val="0.82043009549527368"/>
        </c:manualLayout>
      </c:layout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BILLS</c:v>
              </c:pt>
              <c:pt idx="1">
                <c:v>EXPENSES</c:v>
              </c:pt>
            </c:strLit>
          </c:cat>
          <c:val>
            <c:numRef>
              <c:f>('Monthly Expense Dashboard'!$D$31,'Monthly Expense Dashboard'!$I$31)</c:f>
              <c:numCache>
                <c:formatCode>_ [$₹-4009]\ * #,##0.00_ ;_ [$₹-4009]\ * \-#,##0.00_ ;_ [$₹-4009]\ * "-"??_ ;_ @_ </c:formatCode>
                <c:ptCount val="2"/>
                <c:pt idx="0">
                  <c:v>2010</c:v>
                </c:pt>
                <c:pt idx="1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B-4D2E-B078-848F19C7CD68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BILLS</c:v>
              </c:pt>
              <c:pt idx="1">
                <c:v>EXPENSES</c:v>
              </c:pt>
            </c:strLit>
          </c:cat>
          <c:val>
            <c:numRef>
              <c:f>('Monthly Expense Dashboard'!$E$31,'Monthly Expense Dashboard'!$J$31)</c:f>
              <c:numCache>
                <c:formatCode>_ [$₹-4009]\ * #,##0.00_ ;_ [$₹-4009]\ * \-#,##0.00_ ;_ [$₹-4009]\ * "-"??_ ;_ @_ </c:formatCode>
                <c:ptCount val="2"/>
                <c:pt idx="0">
                  <c:v>1339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1B-4D2E-B078-848F19C7C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168784"/>
        <c:axId val="524711104"/>
      </c:barChart>
      <c:catAx>
        <c:axId val="20281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11104"/>
        <c:crosses val="autoZero"/>
        <c:auto val="1"/>
        <c:lblAlgn val="ctr"/>
        <c:lblOffset val="100"/>
        <c:noMultiLvlLbl val="0"/>
      </c:catAx>
      <c:valAx>
        <c:axId val="524711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6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ACTUAL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F9-4062-909D-320BBC04EA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F9-4062-909D-320BBC04EA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F9-4062-909D-320BBC04EA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BILLS</c:v>
              </c:pt>
              <c:pt idx="1">
                <c:v>EXPENSES</c:v>
              </c:pt>
              <c:pt idx="2">
                <c:v>SUBS</c:v>
              </c:pt>
            </c:strLit>
          </c:cat>
          <c:val>
            <c:numRef>
              <c:f>('Monthly Expense Dashboard'!$E$31,'Monthly Expense Dashboard'!$J$31,'Monthly Expense Dashboard'!$O$31)</c:f>
              <c:numCache>
                <c:formatCode>_ [$₹-4009]\ * #,##0.00_ ;_ [$₹-4009]\ * \-#,##0.00_ ;_ [$₹-4009]\ * "-"??_ ;_ @_ </c:formatCode>
                <c:ptCount val="3"/>
                <c:pt idx="0">
                  <c:v>1339</c:v>
                </c:pt>
                <c:pt idx="1">
                  <c:v>500</c:v>
                </c:pt>
                <c:pt idx="2">
                  <c:v>128.97999999999999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7-4379-BD30-DCE7101F4B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746125</xdr:colOff>
      <xdr:row>33</xdr:row>
      <xdr:rowOff>12699</xdr:rowOff>
    </xdr:from>
    <xdr:to>
      <xdr:col>9</xdr:col>
      <xdr:colOff>0</xdr:colOff>
      <xdr:row>46</xdr:row>
      <xdr:rowOff>22224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C4F81-D00C-5330-FC13-BD9EC4F76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15875</xdr:colOff>
      <xdr:row>12</xdr:row>
      <xdr:rowOff>6350</xdr:rowOff>
    </xdr:from>
    <xdr:to>
      <xdr:col>21</xdr:col>
      <xdr:colOff>450850</xdr:colOff>
      <xdr:row>25</xdr:row>
      <xdr:rowOff>25399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D30387-3BA0-3AA7-0723-270559CB2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</xdr:colOff>
      <xdr:row>26</xdr:row>
      <xdr:rowOff>38100</xdr:rowOff>
    </xdr:from>
    <xdr:to>
      <xdr:col>21</xdr:col>
      <xdr:colOff>450850</xdr:colOff>
      <xdr:row>40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BE5D6A-A7C8-F544-1CAC-7079A7952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590550</xdr:colOff>
      <xdr:row>7</xdr:row>
      <xdr:rowOff>69850</xdr:rowOff>
    </xdr:from>
    <xdr:to>
      <xdr:col>2</xdr:col>
      <xdr:colOff>336550</xdr:colOff>
      <xdr:row>10</xdr:row>
      <xdr:rowOff>101600</xdr:rowOff>
    </xdr:to>
    <xdr:sp macro="" textlink="$M$2">
      <xdr:nvSpPr>
        <xdr:cNvPr id="6" name="Rectangle 5">
          <a:extLst>
            <a:ext uri="{FF2B5EF4-FFF2-40B4-BE49-F238E27FC236}">
              <a16:creationId xmlns:a16="http://schemas.microsoft.com/office/drawing/2014/main" id="{4711C30D-8581-0C20-D883-926552B18204}"/>
            </a:ext>
          </a:extLst>
        </xdr:cNvPr>
        <xdr:cNvSpPr/>
      </xdr:nvSpPr>
      <xdr:spPr>
        <a:xfrm>
          <a:off x="590550" y="1358900"/>
          <a:ext cx="1225550" cy="5842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D8B604C-52BB-4C95-B784-6C9AC0F91DDC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TOTAL INCOME
₹ 3,150.00</a:t>
          </a:fld>
          <a:endParaRPr lang="en-IN" sz="1100"/>
        </a:p>
      </xdr:txBody>
    </xdr:sp>
    <xdr:clientData/>
  </xdr:twoCellAnchor>
  <xdr:twoCellAnchor>
    <xdr:from>
      <xdr:col>2</xdr:col>
      <xdr:colOff>647700</xdr:colOff>
      <xdr:row>7</xdr:row>
      <xdr:rowOff>69850</xdr:rowOff>
    </xdr:from>
    <xdr:to>
      <xdr:col>4</xdr:col>
      <xdr:colOff>158750</xdr:colOff>
      <xdr:row>10</xdr:row>
      <xdr:rowOff>101600</xdr:rowOff>
    </xdr:to>
    <xdr:sp macro="" textlink="$M$3">
      <xdr:nvSpPr>
        <xdr:cNvPr id="7" name="Rectangle 6">
          <a:extLst>
            <a:ext uri="{FF2B5EF4-FFF2-40B4-BE49-F238E27FC236}">
              <a16:creationId xmlns:a16="http://schemas.microsoft.com/office/drawing/2014/main" id="{13E158D7-3337-4F80-B4A6-F380EDCC78DE}"/>
            </a:ext>
          </a:extLst>
        </xdr:cNvPr>
        <xdr:cNvSpPr/>
      </xdr:nvSpPr>
      <xdr:spPr>
        <a:xfrm>
          <a:off x="2127250" y="1358900"/>
          <a:ext cx="1225550" cy="5842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F440DCA-CCBD-49D5-915A-D23E2783522E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TOTALSPENT
₹ 1,967.98</a:t>
          </a:fld>
          <a:endParaRPr lang="en-IN" sz="1100"/>
        </a:p>
      </xdr:txBody>
    </xdr:sp>
    <xdr:clientData/>
  </xdr:twoCellAnchor>
  <xdr:twoCellAnchor>
    <xdr:from>
      <xdr:col>4</xdr:col>
      <xdr:colOff>469900</xdr:colOff>
      <xdr:row>7</xdr:row>
      <xdr:rowOff>69850</xdr:rowOff>
    </xdr:from>
    <xdr:to>
      <xdr:col>5</xdr:col>
      <xdr:colOff>812800</xdr:colOff>
      <xdr:row>10</xdr:row>
      <xdr:rowOff>101600</xdr:rowOff>
    </xdr:to>
    <xdr:sp macro="" textlink="$M$4">
      <xdr:nvSpPr>
        <xdr:cNvPr id="8" name="Rectangle 7">
          <a:extLst>
            <a:ext uri="{FF2B5EF4-FFF2-40B4-BE49-F238E27FC236}">
              <a16:creationId xmlns:a16="http://schemas.microsoft.com/office/drawing/2014/main" id="{0EDAA361-7042-46F3-B5CC-0EEF4E92F284}"/>
            </a:ext>
          </a:extLst>
        </xdr:cNvPr>
        <xdr:cNvSpPr/>
      </xdr:nvSpPr>
      <xdr:spPr>
        <a:xfrm>
          <a:off x="3663950" y="1358900"/>
          <a:ext cx="1225550" cy="5842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3D51780-DD18-4715-9BDB-5116991171E2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INCOME LEFT
₹ 1,182.02</a:t>
          </a:fld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dunuri, Sai Mounika" refreshedDate="45481.718783564815" createdVersion="8" refreshedVersion="8" minRefreshableVersion="3" recordCount="20" xr:uid="{BF7181FE-70D3-42A1-AC6C-044BF718BA73}">
  <cacheSource type="worksheet">
    <worksheetSource name="TblExpenseTracker"/>
  </cacheSource>
  <cacheFields count="4">
    <cacheField name="EXPENSE" numFmtId="0">
      <sharedItems containsBlank="1" count="12">
        <s v="Entertainment"/>
        <s v="Car"/>
        <s v="Rent"/>
        <s v="Water"/>
        <s v="Food"/>
        <s v="Garbage"/>
        <s v="Gas"/>
        <s v="Internet"/>
        <s v="Credit Card"/>
        <s v="Netflix"/>
        <s v="Disney+"/>
        <m/>
      </sharedItems>
    </cacheField>
    <cacheField name="DATE" numFmtId="0">
      <sharedItems containsNonDate="0" containsDate="1" containsString="0" containsBlank="1" minDate="2024-01-09T00:00:00" maxDate="2024-10-10T00:00:00"/>
    </cacheField>
    <cacheField name="AMOUNT" numFmtId="166">
      <sharedItems containsString="0" containsBlank="1" containsNumber="1" minValue="7.99" maxValue="900"/>
    </cacheField>
    <cacheField name="DESCRIP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d v="2024-09-13T00:00:00"/>
    <n v="20"/>
    <s v="Movie Night"/>
  </r>
  <r>
    <x v="1"/>
    <d v="2024-05-09T00:00:00"/>
    <n v="150"/>
    <s v="Sep Car payment"/>
  </r>
  <r>
    <x v="2"/>
    <d v="2024-01-09T00:00:00"/>
    <n v="900"/>
    <m/>
  </r>
  <r>
    <x v="3"/>
    <d v="2024-01-09T00:00:00"/>
    <n v="20"/>
    <m/>
  </r>
  <r>
    <x v="4"/>
    <d v="2024-05-09T00:00:00"/>
    <n v="50"/>
    <m/>
  </r>
  <r>
    <x v="5"/>
    <d v="2024-06-09T00:00:00"/>
    <n v="29"/>
    <m/>
  </r>
  <r>
    <x v="6"/>
    <d v="2024-06-09T00:00:00"/>
    <n v="20"/>
    <m/>
  </r>
  <r>
    <x v="4"/>
    <d v="2024-09-09T00:00:00"/>
    <n v="150"/>
    <m/>
  </r>
  <r>
    <x v="7"/>
    <d v="2024-07-09T00:00:00"/>
    <n v="80"/>
    <m/>
  </r>
  <r>
    <x v="8"/>
    <d v="2024-10-09T00:00:00"/>
    <n v="175"/>
    <m/>
  </r>
  <r>
    <x v="9"/>
    <d v="2024-09-09T00:00:00"/>
    <n v="12.99"/>
    <m/>
  </r>
  <r>
    <x v="10"/>
    <d v="2024-09-09T00:00:00"/>
    <n v="7.99"/>
    <m/>
  </r>
  <r>
    <x v="0"/>
    <d v="2024-09-13T00:00:00"/>
    <n v="40"/>
    <m/>
  </r>
  <r>
    <x v="11"/>
    <m/>
    <m/>
    <m/>
  </r>
  <r>
    <x v="11"/>
    <m/>
    <m/>
    <m/>
  </r>
  <r>
    <x v="11"/>
    <m/>
    <m/>
    <m/>
  </r>
  <r>
    <x v="11"/>
    <m/>
    <m/>
    <m/>
  </r>
  <r>
    <x v="11"/>
    <m/>
    <m/>
    <m/>
  </r>
  <r>
    <x v="11"/>
    <m/>
    <m/>
    <m/>
  </r>
  <r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BF794-7B68-4F80-A706-D9834F4AA98C}" name="PivotTable1" cacheId="4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B34:D46" firstHeaderRow="0" firstDataRow="1" firstDataCol="1"/>
  <pivotFields count="4">
    <pivotField axis="axisRow" showAll="0">
      <items count="13">
        <item x="1"/>
        <item x="8"/>
        <item x="10"/>
        <item x="0"/>
        <item x="4"/>
        <item x="5"/>
        <item x="6"/>
        <item x="7"/>
        <item x="9"/>
        <item x="2"/>
        <item x="3"/>
        <item h="1" x="11"/>
        <item t="default"/>
      </items>
    </pivotField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2" baseField="0" baseItem="4" numFmtId="167"/>
    <dataField name="Percent" fld="2" showDataAs="percentOfTotal" baseField="0" baseItem="0" numFmtId="1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1D246F-32D2-4E74-8D50-91A245390DA6}" name="TblExpenseTracker" displayName="TblExpenseTracker" ref="B3:E24" totalsRowCount="1">
  <autoFilter ref="B3:E23" xr:uid="{041D246F-32D2-4E74-8D50-91A245390DA6}">
    <filterColumn colId="0" hiddenButton="1"/>
    <filterColumn colId="1" hiddenButton="1"/>
    <filterColumn colId="2" hiddenButton="1"/>
    <filterColumn colId="3" hiddenButton="1"/>
  </autoFilter>
  <tableColumns count="4">
    <tableColumn id="1" xr3:uid="{A0899444-5128-4708-B516-5C44E9BA95EB}" name="EXPENSE" totalsRowLabel="Total"/>
    <tableColumn id="2" xr3:uid="{07C2645F-411C-4A20-A6EC-9C7BAB4A9B5F}" name="DATE"/>
    <tableColumn id="3" xr3:uid="{D98587D1-91F6-4068-B39B-EC5FEB4014C0}" name="AMOUNT" totalsRowFunction="sum" dataDxfId="1" totalsRowDxfId="0"/>
    <tableColumn id="4" xr3:uid="{78C522F8-FCBC-48E6-88D4-62E41474C21D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F49EA-9363-4CA7-80D1-0E84ED6BDA89}" name="tblBills" displayName="tblBills" ref="B13:F31" totalsRowCount="1">
  <autoFilter ref="B13:F30" xr:uid="{E57F49EA-9363-4CA7-80D1-0E84ED6BDA8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78226F4-C106-41B5-93A6-6F67A8AC780E}" name="BILL " totalsRowLabel="Total"/>
    <tableColumn id="2" xr3:uid="{00ECD3F2-C7BF-4859-A78C-9021D16D5784}" name="DUE DATE"/>
    <tableColumn id="3" xr3:uid="{5D5FF57D-CE81-40C8-A712-FE0C9D106BF4}" name="AMOUNT" totalsRowFunction="sum" totalsRowDxfId="6"/>
    <tableColumn id="4" xr3:uid="{142E6C90-1220-498E-8B75-02FBF2987C21}" name="ACTUAL" totalsRowFunction="sum" dataDxfId="19" totalsRowDxfId="5">
      <calculatedColumnFormula>SUMIF(TblExpenseTracker[EXPENSE],tblBills[[#This Row],[BILL ]],TblExpenseTracker[AMOUNT])</calculatedColumnFormula>
    </tableColumn>
    <tableColumn id="5" xr3:uid="{8E954495-2BF6-4F9F-85BF-FF4E126CA8E7}" name="DIFF" dataDxfId="18">
      <calculatedColumnFormula>tblBills[[#This Row],[AMOUNT]]-tblBills[[#This Row],[ACTUAL]]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13B190-30F5-4F08-AF5C-47ED79DD1FD5}" name="tblBills6" displayName="tblBills6" ref="H13:K31" totalsRowCount="1">
  <autoFilter ref="H13:K30" xr:uid="{D513B190-30F5-4F08-AF5C-47ED79DD1FD5}"/>
  <tableColumns count="4">
    <tableColumn id="1" xr3:uid="{FA3EDCB8-965A-4139-A815-750950222509}" name="EXPENSE" totalsRowLabel="Total"/>
    <tableColumn id="3" xr3:uid="{784FC14E-9CDF-4F60-A22F-DAD2D6E9090C}" name="BUDGET" totalsRowFunction="sum" totalsRowDxfId="4"/>
    <tableColumn id="4" xr3:uid="{9555234F-3BC4-4C88-BDE1-2E3BD55C8742}" name="ACTUAL" totalsRowFunction="sum" dataDxfId="17" totalsRowDxfId="3">
      <calculatedColumnFormula>SUMIF(TblExpenseTracker[EXPENSE],tblBills6[[#This Row],[EXPENSE]],tblBills6[[#This Row],[BUDGET]])</calculatedColumnFormula>
    </tableColumn>
    <tableColumn id="5" xr3:uid="{DB93029A-6326-4703-BB49-09673470E961}" name="DIFF" dataDxfId="16">
      <calculatedColumnFormula>tblBills6[[#This Row],[BUDGET]]-tblBills6[[#This Row],[ACTUAL]]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6611EA-00A6-4361-9473-716E34C73DEB}" name="tblBills67" displayName="tblBills67" ref="N13:O31" totalsRowCount="1">
  <autoFilter ref="N13:O30" xr:uid="{1D6611EA-00A6-4361-9473-716E34C73DEB}"/>
  <tableColumns count="2">
    <tableColumn id="1" xr3:uid="{BCDD1635-CC69-403E-942F-8607A3EB31E9}" name="NAME" totalsRowLabel="Total"/>
    <tableColumn id="3" xr3:uid="{77415701-969A-4560-9B04-281ABD98EA55}" name="AMOUNT" totalsRowFunction="sum" totalsRow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42A4C1-F9EF-4E20-86D5-7CABEEBA9F5F}" name="Table8" displayName="Table8" ref="C2:E7" totalsRowCount="1">
  <autoFilter ref="C2:E6" xr:uid="{7742A4C1-F9EF-4E20-86D5-7CABEEBA9F5F}">
    <filterColumn colId="0" hiddenButton="1"/>
    <filterColumn colId="1" hiddenButton="1"/>
    <filterColumn colId="2" hiddenButton="1"/>
  </autoFilter>
  <tableColumns count="3">
    <tableColumn id="1" xr3:uid="{372C6853-A981-4DEB-A75D-251F94768018}" name="INCOME" totalsRowLabel="Total"/>
    <tableColumn id="2" xr3:uid="{7207F5C6-C2F5-4198-A5F1-236DEAB243CA}" name="DATE"/>
    <tableColumn id="3" xr3:uid="{8D748227-E5B2-4EEE-9147-546481F1DCEB}" name="AMOUNT" totalsRowFunction="sum" totalsRow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67210-36E0-4F84-8F98-DC574E99AB6D}" name="Table2" displayName="Table2" ref="G4:L64" totalsRowShown="0">
  <autoFilter ref="G4:L64" xr:uid="{90367210-36E0-4F84-8F98-DC574E99AB6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B499572-947C-470F-92F7-E5D9509FFB58}" name="MONTH"/>
    <tableColumn id="2" xr3:uid="{D4490B74-7915-4086-954E-5DD433BA23E8}" name="AMOUNT" dataDxfId="8" dataCellStyle="Currency">
      <calculatedColumnFormula>L4</calculatedColumnFormula>
    </tableColumn>
    <tableColumn id="3" xr3:uid="{16345E2F-EE90-4C1A-8AE0-34DC0C5F8BB6}" name="PAYMENT" dataDxfId="9">
      <calculatedColumnFormula>-PMT($D$7/12,$D$9-IF(ISNUMBER(G4), G4,0),H5)</calculatedColumnFormula>
    </tableColumn>
    <tableColumn id="6" xr3:uid="{E32FAD4C-5309-4C9F-BA85-A92C8CB25D2B}" name="PRINCIPAL" dataDxfId="15">
      <calculatedColumnFormula>Table2[[#This Row],[PAYMENT]]-Table2[[#This Row],[INTEREST]]</calculatedColumnFormula>
    </tableColumn>
    <tableColumn id="4" xr3:uid="{BDEA4642-6EF7-4E9F-A0D8-F616F1EA1413}" name="INTEREST" dataDxfId="14">
      <calculatedColumnFormula>H5*($D$7/12)</calculatedColumnFormula>
    </tableColumn>
    <tableColumn id="5" xr3:uid="{69F5DE02-20C6-4527-A709-956273332897}" name="BALANCE" dataDxfId="13">
      <calculatedColumnFormula>H5-(I5-K5)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55A1A-B1D9-4D16-86BB-6B53C6D50E29}" name="tblInvestment" displayName="tblInvestment" ref="L4:O24" totalsRowShown="0">
  <autoFilter ref="L4:O24" xr:uid="{83B55A1A-B1D9-4D16-86BB-6B53C6D50E29}">
    <filterColumn colId="0" hiddenButton="1"/>
    <filterColumn colId="1" hiddenButton="1"/>
    <filterColumn colId="2" hiddenButton="1"/>
    <filterColumn colId="3" hiddenButton="1"/>
  </autoFilter>
  <tableColumns count="4">
    <tableColumn id="1" xr3:uid="{0C90F766-B10A-4DA8-A8EB-2C972345C2F5}" name="Year"/>
    <tableColumn id="2" xr3:uid="{85632017-BC7A-477B-8656-CACA058E16B0}" name="Start Amount" dataDxfId="12"/>
    <tableColumn id="3" xr3:uid="{188113E8-3AEF-4EC5-8316-DF924B5371AD}" name="Retirement Salary" dataDxfId="11">
      <calculatedColumnFormula>M5*0.04</calculatedColumnFormula>
    </tableColumn>
    <tableColumn id="4" xr3:uid="{8F829160-5385-4AE8-8E80-358A2A3E21A7}" name="Balance" dataDxfId="10">
      <calculatedColumnFormula>M5-N5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384-FF48-4731-938A-AB66BD28F616}">
  <sheetPr codeName="Sheet1"/>
  <dimension ref="B2:G25"/>
  <sheetViews>
    <sheetView tabSelected="1" workbookViewId="0">
      <selection activeCell="C7" sqref="C7"/>
    </sheetView>
  </sheetViews>
  <sheetFormatPr defaultRowHeight="14.5" x14ac:dyDescent="0.35"/>
  <cols>
    <col min="2" max="2" width="18.58203125" customWidth="1"/>
    <col min="3" max="3" width="17.6640625" customWidth="1"/>
    <col min="4" max="4" width="22.83203125" customWidth="1"/>
    <col min="5" max="5" width="39.4140625" customWidth="1"/>
    <col min="7" max="7" width="15.33203125" hidden="1" customWidth="1"/>
  </cols>
  <sheetData>
    <row r="2" spans="2:7" ht="21" x14ac:dyDescent="0.5">
      <c r="B2" s="50" t="s">
        <v>57</v>
      </c>
      <c r="C2" s="51"/>
      <c r="D2" s="51"/>
      <c r="E2" s="51"/>
    </row>
    <row r="3" spans="2:7" x14ac:dyDescent="0.35">
      <c r="B3" t="s">
        <v>45</v>
      </c>
      <c r="C3" t="s">
        <v>55</v>
      </c>
      <c r="D3" t="s">
        <v>0</v>
      </c>
      <c r="E3" t="s">
        <v>56</v>
      </c>
    </row>
    <row r="4" spans="2:7" x14ac:dyDescent="0.35">
      <c r="B4" t="s">
        <v>69</v>
      </c>
      <c r="C4" s="42">
        <v>45548</v>
      </c>
      <c r="D4" s="43">
        <v>20</v>
      </c>
      <c r="E4" t="s">
        <v>72</v>
      </c>
    </row>
    <row r="5" spans="2:7" x14ac:dyDescent="0.35">
      <c r="B5" t="s">
        <v>39</v>
      </c>
      <c r="C5" s="42">
        <v>45549</v>
      </c>
      <c r="D5" s="43">
        <v>150</v>
      </c>
      <c r="E5" t="s">
        <v>59</v>
      </c>
    </row>
    <row r="6" spans="2:7" x14ac:dyDescent="0.35">
      <c r="B6" t="s">
        <v>33</v>
      </c>
      <c r="C6" s="42">
        <v>45482</v>
      </c>
      <c r="D6" s="43">
        <v>900</v>
      </c>
      <c r="G6" t="str" cm="1">
        <f t="array" ref="G6:G25">_xlfn._xlws.SORT(_xlfn.TOCOL((tblBills[[BILL ]],tblBills6[EXPENSE],tblBills67[NAME]),1),1,1)</f>
        <v>Art works</v>
      </c>
    </row>
    <row r="7" spans="2:7" x14ac:dyDescent="0.35">
      <c r="B7" t="s">
        <v>34</v>
      </c>
      <c r="C7" s="42">
        <v>45482</v>
      </c>
      <c r="D7" s="43">
        <v>20</v>
      </c>
      <c r="G7" t="str">
        <v>Car</v>
      </c>
    </row>
    <row r="8" spans="2:7" x14ac:dyDescent="0.35">
      <c r="B8" t="s">
        <v>47</v>
      </c>
      <c r="C8" s="42">
        <v>45421</v>
      </c>
      <c r="D8" s="43">
        <v>50</v>
      </c>
      <c r="G8" t="str">
        <v>Car Repair</v>
      </c>
    </row>
    <row r="9" spans="2:7" x14ac:dyDescent="0.35">
      <c r="B9" t="s">
        <v>35</v>
      </c>
      <c r="C9" s="42">
        <v>45482</v>
      </c>
      <c r="D9" s="43">
        <v>29</v>
      </c>
      <c r="G9" t="str">
        <v>Charity</v>
      </c>
    </row>
    <row r="10" spans="2:7" x14ac:dyDescent="0.35">
      <c r="B10" t="s">
        <v>36</v>
      </c>
      <c r="C10" s="42">
        <v>45513</v>
      </c>
      <c r="D10" s="43">
        <v>20</v>
      </c>
      <c r="G10" t="str">
        <v>Credit Card</v>
      </c>
    </row>
    <row r="11" spans="2:7" x14ac:dyDescent="0.35">
      <c r="B11" t="s">
        <v>47</v>
      </c>
      <c r="C11" s="42">
        <v>45544</v>
      </c>
      <c r="D11" s="43">
        <v>150</v>
      </c>
      <c r="G11" t="str">
        <v>Disney+</v>
      </c>
    </row>
    <row r="12" spans="2:7" x14ac:dyDescent="0.35">
      <c r="B12" t="s">
        <v>37</v>
      </c>
      <c r="C12" s="42">
        <v>45513</v>
      </c>
      <c r="D12" s="43">
        <v>45</v>
      </c>
      <c r="G12" t="str">
        <v>Electric</v>
      </c>
    </row>
    <row r="13" spans="2:7" x14ac:dyDescent="0.35">
      <c r="B13" t="s">
        <v>42</v>
      </c>
      <c r="C13" s="42">
        <v>45482</v>
      </c>
      <c r="D13" s="43">
        <v>175</v>
      </c>
      <c r="G13" t="str">
        <v>Food</v>
      </c>
    </row>
    <row r="14" spans="2:7" x14ac:dyDescent="0.35">
      <c r="B14" t="s">
        <v>68</v>
      </c>
      <c r="C14" s="42">
        <v>45544</v>
      </c>
      <c r="D14" s="43">
        <v>12.99</v>
      </c>
      <c r="G14" t="str">
        <v>Garbage</v>
      </c>
    </row>
    <row r="15" spans="2:7" x14ac:dyDescent="0.35">
      <c r="B15" t="s">
        <v>54</v>
      </c>
      <c r="C15" s="42">
        <v>45544</v>
      </c>
      <c r="D15" s="43">
        <v>7.99</v>
      </c>
      <c r="G15" t="str">
        <v>Gas</v>
      </c>
    </row>
    <row r="16" spans="2:7" x14ac:dyDescent="0.35">
      <c r="B16" t="s">
        <v>70</v>
      </c>
      <c r="C16" s="42">
        <v>45548</v>
      </c>
      <c r="D16" s="43">
        <v>40</v>
      </c>
      <c r="G16" t="str">
        <v>Health insurance</v>
      </c>
    </row>
    <row r="17" spans="2:7" x14ac:dyDescent="0.35">
      <c r="D17" s="43"/>
      <c r="G17" t="str">
        <v>Insurance</v>
      </c>
    </row>
    <row r="18" spans="2:7" x14ac:dyDescent="0.35">
      <c r="D18" s="43"/>
      <c r="G18" t="str">
        <v>Internet</v>
      </c>
    </row>
    <row r="19" spans="2:7" x14ac:dyDescent="0.35">
      <c r="D19" s="43"/>
      <c r="G19" t="str">
        <v>KuKu FM</v>
      </c>
    </row>
    <row r="20" spans="2:7" x14ac:dyDescent="0.35">
      <c r="D20" s="43"/>
      <c r="G20" t="str">
        <v>Phone</v>
      </c>
    </row>
    <row r="21" spans="2:7" x14ac:dyDescent="0.35">
      <c r="D21" s="43"/>
      <c r="G21" t="str">
        <v>Piano tutor</v>
      </c>
    </row>
    <row r="22" spans="2:7" x14ac:dyDescent="0.35">
      <c r="D22" s="43"/>
      <c r="G22" t="str">
        <v>Rent</v>
      </c>
    </row>
    <row r="23" spans="2:7" x14ac:dyDescent="0.35">
      <c r="D23" s="43"/>
      <c r="G23" t="str">
        <v>Trip</v>
      </c>
    </row>
    <row r="24" spans="2:7" x14ac:dyDescent="0.35">
      <c r="B24" t="s">
        <v>43</v>
      </c>
      <c r="D24" s="43">
        <f>SUBTOTAL(109,TblExpenseTracker[AMOUNT])</f>
        <v>1619.98</v>
      </c>
      <c r="G24" t="str">
        <v>Upskill course</v>
      </c>
    </row>
    <row r="25" spans="2:7" x14ac:dyDescent="0.35">
      <c r="G25" t="str">
        <v>Water</v>
      </c>
    </row>
  </sheetData>
  <mergeCells count="1">
    <mergeCell ref="B2:E2"/>
  </mergeCells>
  <dataValidations count="1">
    <dataValidation type="list" allowBlank="1" showInputMessage="1" showErrorMessage="1" sqref="B4:B23" xr:uid="{96861DFA-DC3A-4E1B-81EB-E7DCCA63AA63}">
      <formula1>OFFSET($G$6,,,COUNTA($G:$G))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80A1-ADDE-4668-971F-98BA3D137BDC}">
  <sheetPr codeName="Sheet2"/>
  <dimension ref="B2:O46"/>
  <sheetViews>
    <sheetView showGridLines="0" topLeftCell="A9" workbookViewId="0">
      <selection activeCell="B17" sqref="B17"/>
    </sheetView>
  </sheetViews>
  <sheetFormatPr defaultRowHeight="14.5" x14ac:dyDescent="0.35"/>
  <cols>
    <col min="2" max="2" width="12.4140625" customWidth="1"/>
    <col min="3" max="3" width="14.33203125" customWidth="1"/>
    <col min="4" max="4" width="10.1640625" customWidth="1"/>
    <col min="5" max="5" width="12.58203125" customWidth="1"/>
    <col min="6" max="6" width="13.4140625" customWidth="1"/>
    <col min="7" max="7" width="12.83203125" customWidth="1"/>
    <col min="8" max="8" width="15.58203125" customWidth="1"/>
    <col min="9" max="9" width="16.1640625" customWidth="1"/>
    <col min="13" max="13" width="0" hidden="1" customWidth="1"/>
    <col min="14" max="14" width="14.25" customWidth="1"/>
    <col min="15" max="15" width="16.83203125" customWidth="1"/>
  </cols>
  <sheetData>
    <row r="2" spans="2:15" x14ac:dyDescent="0.35">
      <c r="C2" t="s">
        <v>64</v>
      </c>
      <c r="D2" t="s">
        <v>55</v>
      </c>
      <c r="E2" t="s">
        <v>0</v>
      </c>
      <c r="M2" t="str">
        <f>"TOTAL INCOME"&amp;CHAR(10)&amp;TEXT(Table8[[#Totals],[AMOUNT]],"₹ #,##0.00")</f>
        <v>TOTAL INCOME
₹ 3,150.00</v>
      </c>
    </row>
    <row r="3" spans="2:15" x14ac:dyDescent="0.35">
      <c r="C3" t="s">
        <v>65</v>
      </c>
      <c r="D3" s="42">
        <v>45482</v>
      </c>
      <c r="E3" s="43">
        <v>2400</v>
      </c>
      <c r="M3" t="str">
        <f ca="1">"TOTALSPENT"&amp;CHAR(10)&amp;TEXT(SUM(tblBills[[#Totals],[ACTUAL]],tblBills6[[#Totals],[ACTUAL]],tblBills67[[#Totals],[AMOUNT]]),"₹ #,##0.00")</f>
        <v>TOTALSPENT
₹ 1,967.98</v>
      </c>
    </row>
    <row r="4" spans="2:15" x14ac:dyDescent="0.35">
      <c r="C4" t="s">
        <v>66</v>
      </c>
      <c r="D4" s="42">
        <v>45459</v>
      </c>
      <c r="E4">
        <v>750</v>
      </c>
      <c r="M4" t="str">
        <f ca="1">"INCOME LEFT"&amp;CHAR(10)&amp;TEXT(Table8[[#Totals],[AMOUNT]]-SUM(tblBills[[#Totals],[ACTUAL]],tblBills6[[#Totals],[ACTUAL]],tblBills67[[#Totals],[AMOUNT]]),"₹ #,##0.00")</f>
        <v>INCOME LEFT
₹ 1,182.02</v>
      </c>
    </row>
    <row r="7" spans="2:15" x14ac:dyDescent="0.35">
      <c r="C7" t="s">
        <v>43</v>
      </c>
      <c r="E7" s="43">
        <f>SUBTOTAL(109,Table8[AMOUNT])</f>
        <v>3150</v>
      </c>
    </row>
    <row r="10" spans="2:15" x14ac:dyDescent="0.35">
      <c r="D10" s="48"/>
    </row>
    <row r="11" spans="2:15" ht="15" thickBot="1" x14ac:dyDescent="0.4"/>
    <row r="12" spans="2:15" ht="21" x14ac:dyDescent="0.5">
      <c r="B12" s="52" t="s">
        <v>32</v>
      </c>
      <c r="C12" s="53"/>
      <c r="D12" s="53"/>
      <c r="E12" s="53"/>
      <c r="F12" s="54"/>
      <c r="H12" s="52" t="s">
        <v>44</v>
      </c>
      <c r="I12" s="53"/>
      <c r="J12" s="53"/>
      <c r="K12" s="54"/>
      <c r="L12" s="49"/>
      <c r="N12" s="52" t="s">
        <v>51</v>
      </c>
      <c r="O12" s="54"/>
    </row>
    <row r="13" spans="2:15" x14ac:dyDescent="0.35">
      <c r="B13" t="s">
        <v>28</v>
      </c>
      <c r="C13" t="s">
        <v>29</v>
      </c>
      <c r="D13" t="s">
        <v>0</v>
      </c>
      <c r="E13" t="s">
        <v>30</v>
      </c>
      <c r="F13" t="s">
        <v>31</v>
      </c>
      <c r="H13" t="s">
        <v>45</v>
      </c>
      <c r="I13" t="s">
        <v>46</v>
      </c>
      <c r="J13" t="s">
        <v>30</v>
      </c>
      <c r="K13" t="s">
        <v>31</v>
      </c>
      <c r="N13" t="s">
        <v>52</v>
      </c>
      <c r="O13" t="s">
        <v>0</v>
      </c>
    </row>
    <row r="14" spans="2:15" x14ac:dyDescent="0.35">
      <c r="B14" t="s">
        <v>33</v>
      </c>
      <c r="C14" s="42">
        <v>45482</v>
      </c>
      <c r="D14" s="43">
        <v>900</v>
      </c>
      <c r="E14" s="43">
        <f>SUMIF(TblExpenseTracker[EXPENSE],tblBills[[#This Row],[BILL ]],TblExpenseTracker[AMOUNT])</f>
        <v>900</v>
      </c>
      <c r="F14" s="43">
        <f>tblBills[[#This Row],[AMOUNT]]-tblBills[[#This Row],[ACTUAL]]</f>
        <v>0</v>
      </c>
      <c r="H14" t="s">
        <v>47</v>
      </c>
      <c r="I14" s="43">
        <v>500</v>
      </c>
      <c r="J14" s="43">
        <f ca="1">SUMIF(TblExpenseTracker[EXPENSE],tblBills6[[#This Row],[EXPENSE]],tblBills6[[#This Row],[BUDGET]])</f>
        <v>200</v>
      </c>
      <c r="K14" s="43">
        <f ca="1">tblBills6[[#This Row],[BUDGET]]-tblBills6[[#This Row],[ACTUAL]]</f>
        <v>300</v>
      </c>
      <c r="L14" s="43"/>
      <c r="N14" t="s">
        <v>70</v>
      </c>
      <c r="O14" s="43">
        <v>120.99</v>
      </c>
    </row>
    <row r="15" spans="2:15" x14ac:dyDescent="0.35">
      <c r="B15" t="s">
        <v>34</v>
      </c>
      <c r="C15" s="42">
        <v>45482</v>
      </c>
      <c r="D15" s="43">
        <v>40</v>
      </c>
      <c r="E15" s="43">
        <f>SUMIF(TblExpenseTracker[EXPENSE],tblBills[[#This Row],[BILL ]],TblExpenseTracker[AMOUNT])</f>
        <v>20</v>
      </c>
      <c r="F15" s="43">
        <f>tblBills[[#This Row],[AMOUNT]]-tblBills[[#This Row],[ACTUAL]]</f>
        <v>20</v>
      </c>
      <c r="H15" t="s">
        <v>68</v>
      </c>
      <c r="I15" s="43">
        <v>100</v>
      </c>
      <c r="J15" s="43">
        <f ca="1">SUMIF(TblExpenseTracker[EXPENSE],tblBills6[[#This Row],[EXPENSE]],tblBills6[[#This Row],[BUDGET]])</f>
        <v>0</v>
      </c>
      <c r="K15" s="43">
        <f ca="1">tblBills6[[#This Row],[BUDGET]]-tblBills6[[#This Row],[ACTUAL]]</f>
        <v>100</v>
      </c>
      <c r="L15" s="43"/>
      <c r="N15" t="s">
        <v>54</v>
      </c>
      <c r="O15" s="43">
        <v>7.99</v>
      </c>
    </row>
    <row r="16" spans="2:15" x14ac:dyDescent="0.35">
      <c r="B16" t="s">
        <v>35</v>
      </c>
      <c r="C16" s="42">
        <v>45482</v>
      </c>
      <c r="D16" s="43">
        <v>30</v>
      </c>
      <c r="E16" s="43">
        <f>SUMIF(TblExpenseTracker[EXPENSE],tblBills[[#This Row],[BILL ]],TblExpenseTracker[AMOUNT])</f>
        <v>29</v>
      </c>
      <c r="F16" s="43">
        <f>tblBills[[#This Row],[AMOUNT]]-tblBills[[#This Row],[ACTUAL]]</f>
        <v>1</v>
      </c>
      <c r="H16" t="s">
        <v>69</v>
      </c>
      <c r="I16" s="43">
        <v>300</v>
      </c>
      <c r="J16" s="43">
        <f ca="1">SUMIF(TblExpenseTracker[EXPENSE],tblBills6[[#This Row],[EXPENSE]],tblBills6[[#This Row],[BUDGET]])</f>
        <v>300</v>
      </c>
      <c r="K16" s="43">
        <f ca="1">tblBills6[[#This Row],[BUDGET]]-tblBills6[[#This Row],[ACTUAL]]</f>
        <v>0</v>
      </c>
      <c r="L16" s="43"/>
      <c r="N16" t="s">
        <v>71</v>
      </c>
      <c r="O16" s="43"/>
    </row>
    <row r="17" spans="2:15" x14ac:dyDescent="0.35">
      <c r="B17" t="s">
        <v>36</v>
      </c>
      <c r="C17" s="42">
        <v>45513</v>
      </c>
      <c r="D17" s="43">
        <v>20</v>
      </c>
      <c r="E17" s="43">
        <f>SUMIF(TblExpenseTracker[EXPENSE],tblBills[[#This Row],[BILL ]],TblExpenseTracker[AMOUNT])</f>
        <v>20</v>
      </c>
      <c r="F17" s="43">
        <f>tblBills[[#This Row],[AMOUNT]]-tblBills[[#This Row],[ACTUAL]]</f>
        <v>0</v>
      </c>
      <c r="H17" t="s">
        <v>49</v>
      </c>
      <c r="I17" s="43">
        <v>250</v>
      </c>
      <c r="J17" s="43">
        <f ca="1">SUMIF(TblExpenseTracker[EXPENSE],tblBills6[[#This Row],[EXPENSE]],tblBills6[[#This Row],[BUDGET]])</f>
        <v>0</v>
      </c>
      <c r="K17" s="43">
        <f ca="1">tblBills6[[#This Row],[BUDGET]]-tblBills6[[#This Row],[ACTUAL]]</f>
        <v>250</v>
      </c>
      <c r="L17" s="43"/>
      <c r="O17" s="43"/>
    </row>
    <row r="18" spans="2:15" x14ac:dyDescent="0.35">
      <c r="B18" t="s">
        <v>37</v>
      </c>
      <c r="C18" s="42">
        <v>45513</v>
      </c>
      <c r="D18" s="43">
        <v>45</v>
      </c>
      <c r="E18" s="43">
        <f>SUMIF(TblExpenseTracker[EXPENSE],tblBills[[#This Row],[BILL ]],TblExpenseTracker[AMOUNT])</f>
        <v>45</v>
      </c>
      <c r="F18" s="43">
        <f>tblBills[[#This Row],[AMOUNT]]-tblBills[[#This Row],[ACTUAL]]</f>
        <v>0</v>
      </c>
      <c r="H18" t="s">
        <v>50</v>
      </c>
      <c r="I18" s="43">
        <v>200</v>
      </c>
      <c r="J18" s="43">
        <f ca="1">SUMIF(TblExpenseTracker[EXPENSE],tblBills6[[#This Row],[EXPENSE]],tblBills6[[#This Row],[BUDGET]])</f>
        <v>0</v>
      </c>
      <c r="K18" s="43">
        <f ca="1">tblBills6[[#This Row],[BUDGET]]-tblBills6[[#This Row],[ACTUAL]]</f>
        <v>200</v>
      </c>
      <c r="L18" s="43"/>
      <c r="O18" s="43"/>
    </row>
    <row r="19" spans="2:15" x14ac:dyDescent="0.35">
      <c r="B19" t="s">
        <v>38</v>
      </c>
      <c r="C19" s="42">
        <v>45635</v>
      </c>
      <c r="D19" s="43">
        <v>125</v>
      </c>
      <c r="E19" s="43">
        <f>SUMIF(TblExpenseTracker[EXPENSE],tblBills[[#This Row],[BILL ]],TblExpenseTracker[AMOUNT])</f>
        <v>0</v>
      </c>
      <c r="F19" s="43">
        <f>tblBills[[#This Row],[AMOUNT]]-tblBills[[#This Row],[ACTUAL]]</f>
        <v>125</v>
      </c>
      <c r="H19" t="s">
        <v>67</v>
      </c>
      <c r="I19">
        <v>100</v>
      </c>
      <c r="J19" s="43">
        <f ca="1">SUMIF(TblExpenseTracker[EXPENSE],tblBills6[[#This Row],[EXPENSE]],tblBills6[[#This Row],[BUDGET]])</f>
        <v>0</v>
      </c>
      <c r="K19" s="43">
        <f ca="1">tblBills6[[#This Row],[BUDGET]]-tblBills6[[#This Row],[ACTUAL]]</f>
        <v>100</v>
      </c>
      <c r="L19" s="43"/>
    </row>
    <row r="20" spans="2:15" x14ac:dyDescent="0.35">
      <c r="B20" t="s">
        <v>39</v>
      </c>
      <c r="C20" s="42">
        <v>45914</v>
      </c>
      <c r="D20" s="43">
        <v>225</v>
      </c>
      <c r="E20" s="43">
        <f>SUMIF(TblExpenseTracker[EXPENSE],tblBills[[#This Row],[BILL ]],TblExpenseTracker[AMOUNT])</f>
        <v>150</v>
      </c>
      <c r="F20" s="43">
        <f>tblBills[[#This Row],[AMOUNT]]-tblBills[[#This Row],[ACTUAL]]</f>
        <v>75</v>
      </c>
      <c r="J20" s="43">
        <f ca="1">SUMIF(TblExpenseTracker[EXPENSE],tblBills6[[#This Row],[EXPENSE]],tblBills6[[#This Row],[BUDGET]])</f>
        <v>0</v>
      </c>
      <c r="K20" s="43">
        <f ca="1">tblBills6[[#This Row],[BUDGET]]-tblBills6[[#This Row],[ACTUAL]]</f>
        <v>0</v>
      </c>
      <c r="L20" s="43"/>
    </row>
    <row r="21" spans="2:15" x14ac:dyDescent="0.35">
      <c r="B21" t="s">
        <v>40</v>
      </c>
      <c r="C21" s="42">
        <v>45544</v>
      </c>
      <c r="D21" s="43">
        <v>400</v>
      </c>
      <c r="E21" s="43">
        <f>SUMIF(TblExpenseTracker[EXPENSE],tblBills[[#This Row],[BILL ]],TblExpenseTracker[AMOUNT])</f>
        <v>0</v>
      </c>
      <c r="F21" s="43">
        <f>tblBills[[#This Row],[AMOUNT]]-tblBills[[#This Row],[ACTUAL]]</f>
        <v>400</v>
      </c>
      <c r="J21" s="43">
        <f ca="1">SUMIF(TblExpenseTracker[EXPENSE],tblBills6[[#This Row],[EXPENSE]],tblBills6[[#This Row],[BUDGET]])</f>
        <v>0</v>
      </c>
      <c r="K21" s="43">
        <f ca="1">tblBills6[[#This Row],[BUDGET]]-tblBills6[[#This Row],[ACTUAL]]</f>
        <v>0</v>
      </c>
      <c r="L21" s="43"/>
    </row>
    <row r="22" spans="2:15" x14ac:dyDescent="0.35">
      <c r="B22" t="s">
        <v>41</v>
      </c>
      <c r="C22" s="42">
        <v>45482</v>
      </c>
      <c r="D22" s="43">
        <v>75</v>
      </c>
      <c r="E22" s="43">
        <f>SUMIF(TblExpenseTracker[EXPENSE],tblBills[[#This Row],[BILL ]],TblExpenseTracker[AMOUNT])</f>
        <v>0</v>
      </c>
      <c r="F22" s="43">
        <f>tblBills[[#This Row],[AMOUNT]]-tblBills[[#This Row],[ACTUAL]]</f>
        <v>75</v>
      </c>
      <c r="J22" s="43">
        <f ca="1">SUMIF(TblExpenseTracker[EXPENSE],tblBills6[[#This Row],[EXPENSE]],tblBills6[[#This Row],[BUDGET]])</f>
        <v>0</v>
      </c>
      <c r="K22" s="43">
        <f ca="1">tblBills6[[#This Row],[BUDGET]]-tblBills6[[#This Row],[ACTUAL]]</f>
        <v>0</v>
      </c>
      <c r="L22" s="43"/>
    </row>
    <row r="23" spans="2:15" x14ac:dyDescent="0.35">
      <c r="B23" t="s">
        <v>42</v>
      </c>
      <c r="C23" s="42">
        <v>45482</v>
      </c>
      <c r="D23" s="43">
        <v>150</v>
      </c>
      <c r="E23" s="43">
        <f>SUMIF(TblExpenseTracker[EXPENSE],tblBills[[#This Row],[BILL ]],TblExpenseTracker[AMOUNT])</f>
        <v>175</v>
      </c>
      <c r="F23" s="43">
        <f>tblBills[[#This Row],[AMOUNT]]-tblBills[[#This Row],[ACTUAL]]</f>
        <v>-25</v>
      </c>
      <c r="I23" s="43"/>
      <c r="J23" s="43">
        <f ca="1">SUMIF(TblExpenseTracker[EXPENSE],tblBills6[[#This Row],[EXPENSE]],tblBills6[[#This Row],[BUDGET]])</f>
        <v>0</v>
      </c>
      <c r="K23" s="43">
        <f ca="1">tblBills6[[#This Row],[BUDGET]]-tblBills6[[#This Row],[ACTUAL]]</f>
        <v>0</v>
      </c>
      <c r="L23" s="43"/>
      <c r="O23" s="43"/>
    </row>
    <row r="24" spans="2:15" x14ac:dyDescent="0.35">
      <c r="B24" t="s">
        <v>58</v>
      </c>
      <c r="E24" s="43">
        <f>SUMIF(TblExpenseTracker[EXPENSE],tblBills[[#This Row],[BILL ]],TblExpenseTracker[AMOUNT])</f>
        <v>0</v>
      </c>
      <c r="F24" s="43">
        <f>tblBills[[#This Row],[AMOUNT]]-tblBills[[#This Row],[ACTUAL]]</f>
        <v>0</v>
      </c>
      <c r="J24" s="43">
        <f ca="1">SUMIF(TblExpenseTracker[EXPENSE],tblBills6[[#This Row],[EXPENSE]],tblBills6[[#This Row],[BUDGET]])</f>
        <v>0</v>
      </c>
      <c r="K24" s="43">
        <f ca="1">tblBills6[[#This Row],[BUDGET]]-tblBills6[[#This Row],[ACTUAL]]</f>
        <v>0</v>
      </c>
      <c r="L24" s="43"/>
    </row>
    <row r="25" spans="2:15" x14ac:dyDescent="0.35">
      <c r="E25" s="43">
        <f>SUMIF(TblExpenseTracker[EXPENSE],tblBills[[#This Row],[BILL ]],TblExpenseTracker[AMOUNT])</f>
        <v>0</v>
      </c>
      <c r="F25" s="43">
        <f>tblBills[[#This Row],[AMOUNT]]-tblBills[[#This Row],[ACTUAL]]</f>
        <v>0</v>
      </c>
      <c r="J25" s="43">
        <f ca="1">SUMIF(TblExpenseTracker[EXPENSE],tblBills6[[#This Row],[EXPENSE]],tblBills6[[#This Row],[BUDGET]])</f>
        <v>0</v>
      </c>
      <c r="K25" s="43">
        <f ca="1">tblBills6[[#This Row],[BUDGET]]-tblBills6[[#This Row],[ACTUAL]]</f>
        <v>0</v>
      </c>
      <c r="L25" s="43"/>
    </row>
    <row r="26" spans="2:15" x14ac:dyDescent="0.35">
      <c r="E26" s="43">
        <f>SUMIF(TblExpenseTracker[EXPENSE],tblBills[[#This Row],[BILL ]],TblExpenseTracker[AMOUNT])</f>
        <v>0</v>
      </c>
      <c r="F26" s="43">
        <f>tblBills[[#This Row],[AMOUNT]]-tblBills[[#This Row],[ACTUAL]]</f>
        <v>0</v>
      </c>
      <c r="J26" s="43">
        <f ca="1">SUMIF(TblExpenseTracker[EXPENSE],tblBills6[[#This Row],[EXPENSE]],tblBills6[[#This Row],[BUDGET]])</f>
        <v>0</v>
      </c>
      <c r="K26" s="43">
        <f ca="1">tblBills6[[#This Row],[BUDGET]]-tblBills6[[#This Row],[ACTUAL]]</f>
        <v>0</v>
      </c>
      <c r="L26" s="43"/>
    </row>
    <row r="27" spans="2:15" x14ac:dyDescent="0.35">
      <c r="E27" s="43">
        <f>SUMIF(TblExpenseTracker[EXPENSE],tblBills[[#This Row],[BILL ]],TblExpenseTracker[AMOUNT])</f>
        <v>0</v>
      </c>
      <c r="F27" s="43">
        <f>tblBills[[#This Row],[AMOUNT]]-tblBills[[#This Row],[ACTUAL]]</f>
        <v>0</v>
      </c>
      <c r="J27" s="43">
        <f ca="1">SUMIF(TblExpenseTracker[EXPENSE],tblBills6[[#This Row],[EXPENSE]],tblBills6[[#This Row],[BUDGET]])</f>
        <v>0</v>
      </c>
      <c r="K27" s="43">
        <f ca="1">tblBills6[[#This Row],[BUDGET]]-tblBills6[[#This Row],[ACTUAL]]</f>
        <v>0</v>
      </c>
      <c r="L27" s="43"/>
    </row>
    <row r="28" spans="2:15" x14ac:dyDescent="0.35">
      <c r="E28" s="43">
        <f>SUMIF(TblExpenseTracker[EXPENSE],tblBills[[#This Row],[BILL ]],TblExpenseTracker[AMOUNT])</f>
        <v>0</v>
      </c>
      <c r="F28" s="43">
        <f>tblBills[[#This Row],[AMOUNT]]-tblBills[[#This Row],[ACTUAL]]</f>
        <v>0</v>
      </c>
      <c r="J28" s="43">
        <f ca="1">SUMIF(TblExpenseTracker[EXPENSE],tblBills6[[#This Row],[EXPENSE]],tblBills6[[#This Row],[BUDGET]])</f>
        <v>0</v>
      </c>
      <c r="K28" s="43">
        <f ca="1">tblBills6[[#This Row],[BUDGET]]-tblBills6[[#This Row],[ACTUAL]]</f>
        <v>0</v>
      </c>
      <c r="L28" s="43"/>
    </row>
    <row r="29" spans="2:15" x14ac:dyDescent="0.35">
      <c r="E29" s="43">
        <f>SUMIF(TblExpenseTracker[EXPENSE],tblBills[[#This Row],[BILL ]],TblExpenseTracker[AMOUNT])</f>
        <v>0</v>
      </c>
      <c r="F29" s="43">
        <f>tblBills[[#This Row],[AMOUNT]]-tblBills[[#This Row],[ACTUAL]]</f>
        <v>0</v>
      </c>
      <c r="J29" s="43">
        <f ca="1">SUMIF(TblExpenseTracker[EXPENSE],tblBills6[[#This Row],[EXPENSE]],tblBills6[[#This Row],[BUDGET]])</f>
        <v>0</v>
      </c>
      <c r="K29" s="43">
        <f ca="1">tblBills6[[#This Row],[BUDGET]]-tblBills6[[#This Row],[ACTUAL]]</f>
        <v>0</v>
      </c>
      <c r="L29" s="43"/>
    </row>
    <row r="30" spans="2:15" x14ac:dyDescent="0.35">
      <c r="E30" s="43">
        <f>SUMIF(TblExpenseTracker[EXPENSE],tblBills[[#This Row],[BILL ]],TblExpenseTracker[AMOUNT])</f>
        <v>0</v>
      </c>
      <c r="F30" s="43">
        <f>tblBills[[#This Row],[AMOUNT]]-tblBills[[#This Row],[ACTUAL]]</f>
        <v>0</v>
      </c>
      <c r="J30" s="43">
        <f ca="1">SUMIF(TblExpenseTracker[EXPENSE],tblBills6[[#This Row],[EXPENSE]],tblBills6[[#This Row],[BUDGET]])</f>
        <v>0</v>
      </c>
      <c r="K30" s="43">
        <f ca="1">tblBills6[[#This Row],[BUDGET]]-tblBills6[[#This Row],[ACTUAL]]</f>
        <v>0</v>
      </c>
      <c r="L30" s="43"/>
    </row>
    <row r="31" spans="2:15" x14ac:dyDescent="0.35">
      <c r="B31" t="s">
        <v>43</v>
      </c>
      <c r="D31" s="43">
        <f>SUBTOTAL(109,tblBills[AMOUNT])</f>
        <v>2010</v>
      </c>
      <c r="E31" s="43">
        <f>SUBTOTAL(109,tblBills[ACTUAL])</f>
        <v>1339</v>
      </c>
      <c r="H31" t="s">
        <v>43</v>
      </c>
      <c r="I31" s="43">
        <f>SUBTOTAL(109,tblBills6[BUDGET])</f>
        <v>1450</v>
      </c>
      <c r="J31" s="43">
        <f ca="1">SUBTOTAL(109,tblBills6[ACTUAL])</f>
        <v>500</v>
      </c>
      <c r="N31" t="s">
        <v>43</v>
      </c>
      <c r="O31" s="43">
        <f>SUBTOTAL(109,tblBills67[AMOUNT])</f>
        <v>128.97999999999999</v>
      </c>
    </row>
    <row r="34" spans="2:4" x14ac:dyDescent="0.35">
      <c r="B34" s="44" t="s">
        <v>60</v>
      </c>
      <c r="C34" t="s">
        <v>62</v>
      </c>
      <c r="D34" t="s">
        <v>63</v>
      </c>
    </row>
    <row r="35" spans="2:4" x14ac:dyDescent="0.35">
      <c r="B35" s="45" t="s">
        <v>39</v>
      </c>
      <c r="C35" s="47">
        <v>150</v>
      </c>
      <c r="D35" s="46">
        <v>9.0635536381104304E-2</v>
      </c>
    </row>
    <row r="36" spans="2:4" x14ac:dyDescent="0.35">
      <c r="B36" s="45" t="s">
        <v>42</v>
      </c>
      <c r="C36" s="47">
        <v>175</v>
      </c>
      <c r="D36" s="46">
        <v>0.10574145911128835</v>
      </c>
    </row>
    <row r="37" spans="2:4" x14ac:dyDescent="0.35">
      <c r="B37" s="45" t="s">
        <v>54</v>
      </c>
      <c r="C37" s="47">
        <v>7.99</v>
      </c>
      <c r="D37" s="46">
        <v>4.827852904566823E-3</v>
      </c>
    </row>
    <row r="38" spans="2:4" x14ac:dyDescent="0.35">
      <c r="B38" s="45" t="s">
        <v>48</v>
      </c>
      <c r="C38" s="47">
        <v>60</v>
      </c>
      <c r="D38" s="46">
        <v>3.6254214552441724E-2</v>
      </c>
    </row>
    <row r="39" spans="2:4" x14ac:dyDescent="0.35">
      <c r="B39" s="45" t="s">
        <v>47</v>
      </c>
      <c r="C39" s="47">
        <v>200</v>
      </c>
      <c r="D39" s="46">
        <v>0.12084738184147241</v>
      </c>
    </row>
    <row r="40" spans="2:4" x14ac:dyDescent="0.35">
      <c r="B40" s="45" t="s">
        <v>35</v>
      </c>
      <c r="C40" s="47">
        <v>29</v>
      </c>
      <c r="D40" s="46">
        <v>1.7522870367013499E-2</v>
      </c>
    </row>
    <row r="41" spans="2:4" x14ac:dyDescent="0.35">
      <c r="B41" s="45" t="s">
        <v>36</v>
      </c>
      <c r="C41" s="47">
        <v>20</v>
      </c>
      <c r="D41" s="46">
        <v>1.208473818414724E-2</v>
      </c>
    </row>
    <row r="42" spans="2:4" x14ac:dyDescent="0.35">
      <c r="B42" s="45" t="s">
        <v>37</v>
      </c>
      <c r="C42" s="47">
        <v>80</v>
      </c>
      <c r="D42" s="46">
        <v>4.8338952736588961E-2</v>
      </c>
    </row>
    <row r="43" spans="2:4" x14ac:dyDescent="0.35">
      <c r="B43" s="45" t="s">
        <v>53</v>
      </c>
      <c r="C43" s="47">
        <v>12.99</v>
      </c>
      <c r="D43" s="46">
        <v>7.8490374506036322E-3</v>
      </c>
    </row>
    <row r="44" spans="2:4" x14ac:dyDescent="0.35">
      <c r="B44" s="45" t="s">
        <v>33</v>
      </c>
      <c r="C44" s="47">
        <v>900</v>
      </c>
      <c r="D44" s="46">
        <v>0.54381321828662577</v>
      </c>
    </row>
    <row r="45" spans="2:4" x14ac:dyDescent="0.35">
      <c r="B45" s="45" t="s">
        <v>34</v>
      </c>
      <c r="C45" s="47">
        <v>20</v>
      </c>
      <c r="D45" s="46">
        <v>1.208473818414724E-2</v>
      </c>
    </row>
    <row r="46" spans="2:4" x14ac:dyDescent="0.35">
      <c r="B46" s="45" t="s">
        <v>61</v>
      </c>
      <c r="C46" s="47">
        <v>1654.98</v>
      </c>
      <c r="D46" s="46">
        <v>1</v>
      </c>
    </row>
  </sheetData>
  <mergeCells count="3">
    <mergeCell ref="B12:F12"/>
    <mergeCell ref="H12:K12"/>
    <mergeCell ref="N12:O12"/>
  </mergeCells>
  <conditionalFormatting sqref="B14:F30">
    <cfRule type="expression" dxfId="20" priority="1">
      <formula>$F14&lt;0</formula>
    </cfRule>
  </conditionalFormatting>
  <pageMargins left="0.7" right="0.7" top="0.75" bottom="0.75" header="0.3" footer="0.3"/>
  <pageSetup paperSize="9" orientation="portrait" verticalDpi="0" r:id="rId2"/>
  <drawing r:id="rId3"/>
  <tableParts count="4"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0F76-ECAD-4185-898E-C187CD7573E3}">
  <sheetPr codeName="Sheet3"/>
  <dimension ref="B2:L64"/>
  <sheetViews>
    <sheetView showGridLines="0" zoomScale="160" zoomScaleNormal="160" workbookViewId="0">
      <selection activeCell="I5" sqref="I5"/>
    </sheetView>
  </sheetViews>
  <sheetFormatPr defaultRowHeight="14.5" x14ac:dyDescent="0.35"/>
  <cols>
    <col min="1" max="1" width="2.58203125" customWidth="1"/>
    <col min="2" max="2" width="17.9140625" customWidth="1"/>
    <col min="3" max="3" width="2.25" customWidth="1"/>
    <col min="4" max="4" width="18.1640625" customWidth="1"/>
    <col min="5" max="5" width="2.5" customWidth="1"/>
    <col min="6" max="6" width="5.1640625" customWidth="1"/>
    <col min="8" max="8" width="11.1640625" customWidth="1"/>
    <col min="9" max="9" width="9.4140625" customWidth="1"/>
    <col min="10" max="10" width="9.75" customWidth="1"/>
    <col min="12" max="12" width="11.1640625" customWidth="1"/>
  </cols>
  <sheetData>
    <row r="2" spans="2:12" ht="15" thickBot="1" x14ac:dyDescent="0.4"/>
    <row r="3" spans="2:12" ht="24" thickBot="1" x14ac:dyDescent="0.6">
      <c r="B3" s="55" t="s">
        <v>4</v>
      </c>
      <c r="C3" s="56"/>
      <c r="D3" s="56"/>
      <c r="E3" s="57"/>
      <c r="G3" s="55" t="s">
        <v>26</v>
      </c>
      <c r="H3" s="56"/>
      <c r="I3" s="56"/>
      <c r="J3" s="56"/>
      <c r="K3" s="56"/>
      <c r="L3" s="57"/>
    </row>
    <row r="4" spans="2:12" ht="15" thickBot="1" x14ac:dyDescent="0.4">
      <c r="B4" s="2"/>
      <c r="C4" s="3"/>
      <c r="D4" s="3"/>
      <c r="E4" s="4"/>
      <c r="G4" t="s">
        <v>23</v>
      </c>
      <c r="H4" t="s">
        <v>0</v>
      </c>
      <c r="I4" t="s">
        <v>25</v>
      </c>
      <c r="J4" t="s">
        <v>27</v>
      </c>
      <c r="K4" t="s">
        <v>1</v>
      </c>
      <c r="L4" t="s">
        <v>24</v>
      </c>
    </row>
    <row r="5" spans="2:12" ht="15" thickBot="1" x14ac:dyDescent="0.4">
      <c r="B5" s="5" t="s">
        <v>0</v>
      </c>
      <c r="C5" s="6"/>
      <c r="D5" s="58">
        <v>32000</v>
      </c>
      <c r="E5" s="7"/>
      <c r="G5">
        <v>1</v>
      </c>
      <c r="H5" s="43">
        <f>D5</f>
        <v>32000</v>
      </c>
      <c r="I5" s="38">
        <f>-PMT($D$7/12,$D$9-IF(ISNUMBER(G4), G4,0),H5)</f>
        <v>618.64964894169327</v>
      </c>
      <c r="J5" s="38">
        <f>Table2[[#This Row],[PAYMENT]]-Table2[[#This Row],[INTEREST]]</f>
        <v>458.64964894169327</v>
      </c>
      <c r="K5" s="39">
        <f>H5*($D$7/12)</f>
        <v>160</v>
      </c>
      <c r="L5" s="39">
        <f>H5-(I5-K5)</f>
        <v>31541.350351058307</v>
      </c>
    </row>
    <row r="6" spans="2:12" ht="15" thickBot="1" x14ac:dyDescent="0.4">
      <c r="B6" s="8"/>
      <c r="C6" s="6"/>
      <c r="D6" s="6"/>
      <c r="E6" s="7"/>
      <c r="G6">
        <v>2</v>
      </c>
      <c r="H6" s="60">
        <f>L5</f>
        <v>31541.350351058307</v>
      </c>
      <c r="I6" s="38">
        <f t="shared" ref="I6:I64" si="0">-PMT($D$7/12,$D$9-IF(ISNUMBER(G5), G5,0),H6)</f>
        <v>618.64964894169327</v>
      </c>
      <c r="J6" s="38">
        <f>Table2[[#This Row],[PAYMENT]]-Table2[[#This Row],[INTEREST]]</f>
        <v>460.94289718640175</v>
      </c>
      <c r="K6" s="39">
        <f t="shared" ref="K6:K64" si="1">H6*($D$7/12)</f>
        <v>157.70675175529155</v>
      </c>
      <c r="L6" s="39">
        <f t="shared" ref="L6:L64" si="2">H6-(I6-K6)</f>
        <v>31080.407453871907</v>
      </c>
    </row>
    <row r="7" spans="2:12" ht="15" thickBot="1" x14ac:dyDescent="0.4">
      <c r="B7" s="5" t="s">
        <v>1</v>
      </c>
      <c r="C7" s="6"/>
      <c r="D7" s="40">
        <v>0.06</v>
      </c>
      <c r="E7" s="7"/>
      <c r="G7">
        <v>3</v>
      </c>
      <c r="H7" s="60">
        <f t="shared" ref="H7:H25" si="3">L6</f>
        <v>31080.407453871907</v>
      </c>
      <c r="I7" s="38">
        <f t="shared" si="0"/>
        <v>618.64964894169339</v>
      </c>
      <c r="J7" s="38">
        <f>Table2[[#This Row],[PAYMENT]]-Table2[[#This Row],[INTEREST]]</f>
        <v>463.24761167233385</v>
      </c>
      <c r="K7" s="39">
        <f t="shared" si="1"/>
        <v>155.40203726935954</v>
      </c>
      <c r="L7" s="39">
        <f t="shared" si="2"/>
        <v>30617.159842199573</v>
      </c>
    </row>
    <row r="8" spans="2:12" ht="15" thickBot="1" x14ac:dyDescent="0.4">
      <c r="B8" s="8"/>
      <c r="C8" s="6"/>
      <c r="D8" s="6"/>
      <c r="E8" s="7"/>
      <c r="G8">
        <v>4</v>
      </c>
      <c r="H8" s="60">
        <f t="shared" si="3"/>
        <v>30617.159842199573</v>
      </c>
      <c r="I8" s="38">
        <f t="shared" si="0"/>
        <v>618.64964894169339</v>
      </c>
      <c r="J8" s="38">
        <f>Table2[[#This Row],[PAYMENT]]-Table2[[#This Row],[INTEREST]]</f>
        <v>465.56384973069555</v>
      </c>
      <c r="K8" s="39">
        <f t="shared" si="1"/>
        <v>153.08579921099786</v>
      </c>
      <c r="L8" s="39">
        <f t="shared" si="2"/>
        <v>30151.595992468876</v>
      </c>
    </row>
    <row r="9" spans="2:12" ht="15" thickBot="1" x14ac:dyDescent="0.4">
      <c r="B9" s="5" t="s">
        <v>2</v>
      </c>
      <c r="C9" s="6"/>
      <c r="D9" s="12">
        <v>60</v>
      </c>
      <c r="E9" s="7"/>
      <c r="G9">
        <v>5</v>
      </c>
      <c r="H9" s="60">
        <f t="shared" si="3"/>
        <v>30151.595992468876</v>
      </c>
      <c r="I9" s="38">
        <f t="shared" si="0"/>
        <v>618.64964894169327</v>
      </c>
      <c r="J9" s="38">
        <f>Table2[[#This Row],[PAYMENT]]-Table2[[#This Row],[INTEREST]]</f>
        <v>467.89166897934888</v>
      </c>
      <c r="K9" s="39">
        <f t="shared" si="1"/>
        <v>150.75797996234439</v>
      </c>
      <c r="L9" s="39">
        <f t="shared" si="2"/>
        <v>29683.704323489528</v>
      </c>
    </row>
    <row r="10" spans="2:12" ht="15" thickBot="1" x14ac:dyDescent="0.4">
      <c r="B10" s="8"/>
      <c r="C10" s="6"/>
      <c r="D10" s="6"/>
      <c r="E10" s="7"/>
      <c r="G10">
        <v>6</v>
      </c>
      <c r="H10" s="60">
        <f t="shared" si="3"/>
        <v>29683.704323489528</v>
      </c>
      <c r="I10" s="38">
        <f t="shared" si="0"/>
        <v>618.64964894169327</v>
      </c>
      <c r="J10" s="38">
        <f>Table2[[#This Row],[PAYMENT]]-Table2[[#This Row],[INTEREST]]</f>
        <v>470.23112732424562</v>
      </c>
      <c r="K10" s="39">
        <f t="shared" si="1"/>
        <v>148.41852161744765</v>
      </c>
      <c r="L10" s="39">
        <f t="shared" si="2"/>
        <v>29213.473196165283</v>
      </c>
    </row>
    <row r="11" spans="2:12" ht="15" thickBot="1" x14ac:dyDescent="0.4">
      <c r="B11" s="5" t="s">
        <v>3</v>
      </c>
      <c r="C11" s="6"/>
      <c r="D11" s="61">
        <f>-PMT(D7/12,D9,D5)</f>
        <v>618.64964894169327</v>
      </c>
      <c r="E11" s="7"/>
      <c r="G11">
        <v>7</v>
      </c>
      <c r="H11" s="60">
        <f t="shared" si="3"/>
        <v>29213.473196165283</v>
      </c>
      <c r="I11" s="38">
        <f t="shared" si="0"/>
        <v>618.64964894169327</v>
      </c>
      <c r="J11" s="38">
        <f>Table2[[#This Row],[PAYMENT]]-Table2[[#This Row],[INTEREST]]</f>
        <v>472.58228296086685</v>
      </c>
      <c r="K11" s="39">
        <f t="shared" si="1"/>
        <v>146.06736598082642</v>
      </c>
      <c r="L11" s="39">
        <f t="shared" si="2"/>
        <v>28740.890913204417</v>
      </c>
    </row>
    <row r="12" spans="2:12" ht="15" thickBot="1" x14ac:dyDescent="0.4">
      <c r="B12" s="9"/>
      <c r="C12" s="10"/>
      <c r="D12" s="10"/>
      <c r="E12" s="11"/>
      <c r="G12">
        <v>8</v>
      </c>
      <c r="H12" s="60">
        <f t="shared" si="3"/>
        <v>28740.890913204417</v>
      </c>
      <c r="I12" s="38">
        <f t="shared" si="0"/>
        <v>618.64964894169339</v>
      </c>
      <c r="J12" s="38">
        <f>Table2[[#This Row],[PAYMENT]]-Table2[[#This Row],[INTEREST]]</f>
        <v>474.94519437567129</v>
      </c>
      <c r="K12" s="39">
        <f t="shared" si="1"/>
        <v>143.70445456602209</v>
      </c>
      <c r="L12" s="39">
        <f t="shared" si="2"/>
        <v>28265.945718828745</v>
      </c>
    </row>
    <row r="13" spans="2:12" ht="15" thickBot="1" x14ac:dyDescent="0.4">
      <c r="G13">
        <v>9</v>
      </c>
      <c r="H13" s="60">
        <f t="shared" si="3"/>
        <v>28265.945718828745</v>
      </c>
      <c r="I13" s="38">
        <f t="shared" si="0"/>
        <v>618.64964894169339</v>
      </c>
      <c r="J13" s="38">
        <f>Table2[[#This Row],[PAYMENT]]-Table2[[#This Row],[INTEREST]]</f>
        <v>477.31992034754967</v>
      </c>
      <c r="K13" s="39">
        <f t="shared" si="1"/>
        <v>141.32972859414372</v>
      </c>
      <c r="L13" s="39">
        <f t="shared" si="2"/>
        <v>27788.625798481196</v>
      </c>
    </row>
    <row r="14" spans="2:12" ht="15" thickBot="1" x14ac:dyDescent="0.4">
      <c r="B14" s="2"/>
      <c r="C14" s="3"/>
      <c r="D14" s="3"/>
      <c r="E14" s="4"/>
      <c r="G14">
        <v>10</v>
      </c>
      <c r="H14" s="60">
        <f t="shared" si="3"/>
        <v>27788.625798481196</v>
      </c>
      <c r="I14" s="38">
        <f t="shared" si="0"/>
        <v>618.6496489416935</v>
      </c>
      <c r="J14" s="38">
        <f>Table2[[#This Row],[PAYMENT]]-Table2[[#This Row],[INTEREST]]</f>
        <v>479.70651994928755</v>
      </c>
      <c r="K14" s="39">
        <f t="shared" si="1"/>
        <v>138.94312899240597</v>
      </c>
      <c r="L14" s="39">
        <f t="shared" si="2"/>
        <v>27308.91927853191</v>
      </c>
    </row>
    <row r="15" spans="2:12" ht="15" thickBot="1" x14ac:dyDescent="0.4">
      <c r="B15" s="5" t="s">
        <v>12</v>
      </c>
      <c r="C15" s="6"/>
      <c r="D15" s="59">
        <f>IF(D11&gt;0,D11*D9-D5,0)</f>
        <v>5118.9789365015968</v>
      </c>
      <c r="E15" s="7"/>
      <c r="G15">
        <v>11</v>
      </c>
      <c r="H15" s="60">
        <f t="shared" si="3"/>
        <v>27308.91927853191</v>
      </c>
      <c r="I15" s="38">
        <f t="shared" si="0"/>
        <v>618.64964894169339</v>
      </c>
      <c r="J15" s="38">
        <f>Table2[[#This Row],[PAYMENT]]-Table2[[#This Row],[INTEREST]]</f>
        <v>482.10505254903387</v>
      </c>
      <c r="K15" s="39">
        <f t="shared" si="1"/>
        <v>136.54459639265954</v>
      </c>
      <c r="L15" s="39">
        <f t="shared" si="2"/>
        <v>26826.814225982875</v>
      </c>
    </row>
    <row r="16" spans="2:12" ht="15" thickBot="1" x14ac:dyDescent="0.4">
      <c r="B16" s="8"/>
      <c r="C16" s="6"/>
      <c r="D16" s="6"/>
      <c r="E16" s="7"/>
      <c r="G16">
        <v>12</v>
      </c>
      <c r="H16" s="60">
        <f t="shared" si="3"/>
        <v>26826.814225982875</v>
      </c>
      <c r="I16" s="38">
        <f t="shared" si="0"/>
        <v>618.64964894169339</v>
      </c>
      <c r="J16" s="38">
        <f>Table2[[#This Row],[PAYMENT]]-Table2[[#This Row],[INTEREST]]</f>
        <v>484.515577811779</v>
      </c>
      <c r="K16" s="39">
        <f t="shared" si="1"/>
        <v>134.13407112991439</v>
      </c>
      <c r="L16" s="39">
        <f t="shared" si="2"/>
        <v>26342.298648171094</v>
      </c>
    </row>
    <row r="17" spans="2:12" ht="15" thickBot="1" x14ac:dyDescent="0.4">
      <c r="B17" s="5" t="s">
        <v>13</v>
      </c>
      <c r="C17" s="6"/>
      <c r="D17" s="59">
        <f>D11*D9</f>
        <v>37118.978936501597</v>
      </c>
      <c r="E17" s="7"/>
      <c r="G17">
        <v>13</v>
      </c>
      <c r="H17" s="60">
        <f t="shared" si="3"/>
        <v>26342.298648171094</v>
      </c>
      <c r="I17" s="38">
        <f t="shared" si="0"/>
        <v>618.64964894169327</v>
      </c>
      <c r="J17" s="38">
        <f>Table2[[#This Row],[PAYMENT]]-Table2[[#This Row],[INTEREST]]</f>
        <v>486.9381557008378</v>
      </c>
      <c r="K17" s="39">
        <f t="shared" si="1"/>
        <v>131.71149324085548</v>
      </c>
      <c r="L17" s="39">
        <f t="shared" si="2"/>
        <v>25855.360492470256</v>
      </c>
    </row>
    <row r="18" spans="2:12" ht="15" thickBot="1" x14ac:dyDescent="0.4">
      <c r="B18" s="9"/>
      <c r="C18" s="10"/>
      <c r="D18" s="10"/>
      <c r="E18" s="11"/>
      <c r="G18">
        <v>14</v>
      </c>
      <c r="H18" s="60">
        <f t="shared" si="3"/>
        <v>25855.360492470256</v>
      </c>
      <c r="I18" s="38">
        <f t="shared" si="0"/>
        <v>618.64964894169327</v>
      </c>
      <c r="J18" s="38">
        <f>Table2[[#This Row],[PAYMENT]]-Table2[[#This Row],[INTEREST]]</f>
        <v>489.372846479342</v>
      </c>
      <c r="K18" s="39">
        <f t="shared" si="1"/>
        <v>129.27680246235127</v>
      </c>
      <c r="L18" s="39">
        <f t="shared" si="2"/>
        <v>25365.987645990914</v>
      </c>
    </row>
    <row r="19" spans="2:12" x14ac:dyDescent="0.35">
      <c r="G19">
        <v>15</v>
      </c>
      <c r="H19" s="60">
        <f t="shared" si="3"/>
        <v>25365.987645990914</v>
      </c>
      <c r="I19" s="38">
        <f t="shared" si="0"/>
        <v>618.64964894169339</v>
      </c>
      <c r="J19" s="38">
        <f>Table2[[#This Row],[PAYMENT]]-Table2[[#This Row],[INTEREST]]</f>
        <v>491.81971071173882</v>
      </c>
      <c r="K19" s="39">
        <f t="shared" si="1"/>
        <v>126.82993822995458</v>
      </c>
      <c r="L19" s="39">
        <f t="shared" si="2"/>
        <v>24874.167935279176</v>
      </c>
    </row>
    <row r="20" spans="2:12" x14ac:dyDescent="0.35">
      <c r="G20">
        <v>16</v>
      </c>
      <c r="H20" s="60">
        <f t="shared" si="3"/>
        <v>24874.167935279176</v>
      </c>
      <c r="I20" s="38">
        <f t="shared" si="0"/>
        <v>618.64964894169327</v>
      </c>
      <c r="J20" s="38">
        <f>Table2[[#This Row],[PAYMENT]]-Table2[[#This Row],[INTEREST]]</f>
        <v>494.27880926529735</v>
      </c>
      <c r="K20" s="39">
        <f t="shared" si="1"/>
        <v>124.37083967639589</v>
      </c>
      <c r="L20" s="39">
        <f t="shared" si="2"/>
        <v>24379.889126013877</v>
      </c>
    </row>
    <row r="21" spans="2:12" x14ac:dyDescent="0.35">
      <c r="G21">
        <v>17</v>
      </c>
      <c r="H21" s="60">
        <f t="shared" si="3"/>
        <v>24379.889126013877</v>
      </c>
      <c r="I21" s="38">
        <f t="shared" si="0"/>
        <v>618.64964894169327</v>
      </c>
      <c r="J21" s="38">
        <f>Table2[[#This Row],[PAYMENT]]-Table2[[#This Row],[INTEREST]]</f>
        <v>496.75020331162386</v>
      </c>
      <c r="K21" s="39">
        <f t="shared" si="1"/>
        <v>121.89944563006939</v>
      </c>
      <c r="L21" s="39">
        <f t="shared" si="2"/>
        <v>23883.138922702252</v>
      </c>
    </row>
    <row r="22" spans="2:12" x14ac:dyDescent="0.35">
      <c r="G22">
        <v>18</v>
      </c>
      <c r="H22" s="60">
        <f t="shared" si="3"/>
        <v>23883.138922702252</v>
      </c>
      <c r="I22" s="38">
        <f t="shared" si="0"/>
        <v>618.64964894169327</v>
      </c>
      <c r="J22" s="38">
        <f>Table2[[#This Row],[PAYMENT]]-Table2[[#This Row],[INTEREST]]</f>
        <v>499.23395432818199</v>
      </c>
      <c r="K22" s="39">
        <f t="shared" si="1"/>
        <v>119.41569461351126</v>
      </c>
      <c r="L22" s="39">
        <f t="shared" si="2"/>
        <v>23383.90496837407</v>
      </c>
    </row>
    <row r="23" spans="2:12" x14ac:dyDescent="0.35">
      <c r="G23">
        <v>19</v>
      </c>
      <c r="H23" s="60">
        <f t="shared" si="3"/>
        <v>23383.90496837407</v>
      </c>
      <c r="I23" s="38">
        <f t="shared" si="0"/>
        <v>618.64964894169327</v>
      </c>
      <c r="J23" s="38">
        <f>Table2[[#This Row],[PAYMENT]]-Table2[[#This Row],[INTEREST]]</f>
        <v>501.73012409982289</v>
      </c>
      <c r="K23" s="39">
        <f t="shared" si="1"/>
        <v>116.91952484187036</v>
      </c>
      <c r="L23" s="39">
        <f t="shared" si="2"/>
        <v>22882.174844274246</v>
      </c>
    </row>
    <row r="24" spans="2:12" x14ac:dyDescent="0.35">
      <c r="G24">
        <v>20</v>
      </c>
      <c r="H24" s="60">
        <f t="shared" si="3"/>
        <v>22882.174844274246</v>
      </c>
      <c r="I24" s="38">
        <f t="shared" si="0"/>
        <v>618.64964894169327</v>
      </c>
      <c r="J24" s="38">
        <f>Table2[[#This Row],[PAYMENT]]-Table2[[#This Row],[INTEREST]]</f>
        <v>504.23877472032206</v>
      </c>
      <c r="K24" s="39">
        <f t="shared" si="1"/>
        <v>114.41087422137123</v>
      </c>
      <c r="L24" s="39">
        <f t="shared" si="2"/>
        <v>22377.936069553925</v>
      </c>
    </row>
    <row r="25" spans="2:12" x14ac:dyDescent="0.35">
      <c r="G25">
        <v>21</v>
      </c>
      <c r="H25" s="60">
        <f t="shared" si="3"/>
        <v>22377.936069553925</v>
      </c>
      <c r="I25" s="38">
        <f t="shared" si="0"/>
        <v>618.64964894169339</v>
      </c>
      <c r="J25" s="38">
        <f>Table2[[#This Row],[PAYMENT]]-Table2[[#This Row],[INTEREST]]</f>
        <v>506.75996859392376</v>
      </c>
      <c r="K25" s="39">
        <f t="shared" si="1"/>
        <v>111.88968034776963</v>
      </c>
      <c r="L25" s="39">
        <f t="shared" si="2"/>
        <v>21871.176100960001</v>
      </c>
    </row>
    <row r="26" spans="2:12" x14ac:dyDescent="0.35">
      <c r="G26">
        <v>22</v>
      </c>
      <c r="H26" s="60">
        <f t="shared" ref="H26:H46" si="4">L25</f>
        <v>21871.176100960001</v>
      </c>
      <c r="I26" s="38">
        <f t="shared" si="0"/>
        <v>618.64964894169327</v>
      </c>
      <c r="J26" s="38">
        <f>Table2[[#This Row],[PAYMENT]]-Table2[[#This Row],[INTEREST]]</f>
        <v>509.29376843689329</v>
      </c>
      <c r="K26" s="39">
        <f t="shared" si="1"/>
        <v>109.35588050480001</v>
      </c>
      <c r="L26" s="39">
        <f t="shared" si="2"/>
        <v>21361.88233252311</v>
      </c>
    </row>
    <row r="27" spans="2:12" x14ac:dyDescent="0.35">
      <c r="G27">
        <v>23</v>
      </c>
      <c r="H27" s="60">
        <f t="shared" si="4"/>
        <v>21361.88233252311</v>
      </c>
      <c r="I27" s="38">
        <f t="shared" si="0"/>
        <v>618.64964894169327</v>
      </c>
      <c r="J27" s="38">
        <f>Table2[[#This Row],[PAYMENT]]-Table2[[#This Row],[INTEREST]]</f>
        <v>511.84023727907771</v>
      </c>
      <c r="K27" s="39">
        <f t="shared" si="1"/>
        <v>106.80941166261555</v>
      </c>
      <c r="L27" s="39">
        <f t="shared" si="2"/>
        <v>20850.042095244033</v>
      </c>
    </row>
    <row r="28" spans="2:12" x14ac:dyDescent="0.35">
      <c r="G28">
        <v>24</v>
      </c>
      <c r="H28" s="60">
        <f t="shared" si="4"/>
        <v>20850.042095244033</v>
      </c>
      <c r="I28" s="38">
        <f t="shared" si="0"/>
        <v>618.64964894169339</v>
      </c>
      <c r="J28" s="38">
        <f>Table2[[#This Row],[PAYMENT]]-Table2[[#This Row],[INTEREST]]</f>
        <v>514.39943846547317</v>
      </c>
      <c r="K28" s="39">
        <f t="shared" si="1"/>
        <v>104.25021047622016</v>
      </c>
      <c r="L28" s="39">
        <f t="shared" si="2"/>
        <v>20335.64265677856</v>
      </c>
    </row>
    <row r="29" spans="2:12" x14ac:dyDescent="0.35">
      <c r="G29">
        <v>25</v>
      </c>
      <c r="H29" s="60">
        <f t="shared" si="4"/>
        <v>20335.64265677856</v>
      </c>
      <c r="I29" s="38">
        <f t="shared" si="0"/>
        <v>618.64964894169339</v>
      </c>
      <c r="J29" s="38">
        <f>Table2[[#This Row],[PAYMENT]]-Table2[[#This Row],[INTEREST]]</f>
        <v>516.97143565780061</v>
      </c>
      <c r="K29" s="39">
        <f t="shared" si="1"/>
        <v>101.6782132838928</v>
      </c>
      <c r="L29" s="39">
        <f t="shared" si="2"/>
        <v>19818.67122112076</v>
      </c>
    </row>
    <row r="30" spans="2:12" x14ac:dyDescent="0.35">
      <c r="G30">
        <v>26</v>
      </c>
      <c r="H30" s="60">
        <f t="shared" si="4"/>
        <v>19818.67122112076</v>
      </c>
      <c r="I30" s="38">
        <f t="shared" si="0"/>
        <v>618.64964894169327</v>
      </c>
      <c r="J30" s="38">
        <f>Table2[[#This Row],[PAYMENT]]-Table2[[#This Row],[INTEREST]]</f>
        <v>519.55629283608948</v>
      </c>
      <c r="K30" s="39">
        <f t="shared" si="1"/>
        <v>99.093356105603803</v>
      </c>
      <c r="L30" s="39">
        <f t="shared" si="2"/>
        <v>19299.114928284671</v>
      </c>
    </row>
    <row r="31" spans="2:12" x14ac:dyDescent="0.35">
      <c r="G31">
        <v>27</v>
      </c>
      <c r="H31" s="60">
        <f t="shared" si="4"/>
        <v>19299.114928284671</v>
      </c>
      <c r="I31" s="38">
        <f t="shared" si="0"/>
        <v>618.6496489416935</v>
      </c>
      <c r="J31" s="38">
        <f>Table2[[#This Row],[PAYMENT]]-Table2[[#This Row],[INTEREST]]</f>
        <v>522.15407430027017</v>
      </c>
      <c r="K31" s="39">
        <f t="shared" si="1"/>
        <v>96.49557464142336</v>
      </c>
      <c r="L31" s="39">
        <f t="shared" si="2"/>
        <v>18776.960853984401</v>
      </c>
    </row>
    <row r="32" spans="2:12" x14ac:dyDescent="0.35">
      <c r="G32">
        <v>28</v>
      </c>
      <c r="H32" s="60">
        <f t="shared" si="4"/>
        <v>18776.960853984401</v>
      </c>
      <c r="I32" s="38">
        <f t="shared" si="0"/>
        <v>618.64964894169339</v>
      </c>
      <c r="J32" s="38">
        <f>Table2[[#This Row],[PAYMENT]]-Table2[[#This Row],[INTEREST]]</f>
        <v>524.76484467177136</v>
      </c>
      <c r="K32" s="39">
        <f t="shared" si="1"/>
        <v>93.884804269922014</v>
      </c>
      <c r="L32" s="39">
        <f t="shared" si="2"/>
        <v>18252.196009312629</v>
      </c>
    </row>
    <row r="33" spans="7:12" x14ac:dyDescent="0.35">
      <c r="G33">
        <v>29</v>
      </c>
      <c r="H33" s="60">
        <f t="shared" si="4"/>
        <v>18252.196009312629</v>
      </c>
      <c r="I33" s="38">
        <f t="shared" si="0"/>
        <v>618.6496489416935</v>
      </c>
      <c r="J33" s="38">
        <f>Table2[[#This Row],[PAYMENT]]-Table2[[#This Row],[INTEREST]]</f>
        <v>527.38866889513031</v>
      </c>
      <c r="K33" s="39">
        <f t="shared" si="1"/>
        <v>91.260980046563148</v>
      </c>
      <c r="L33" s="39">
        <f t="shared" si="2"/>
        <v>17724.807340417497</v>
      </c>
    </row>
    <row r="34" spans="7:12" x14ac:dyDescent="0.35">
      <c r="G34">
        <v>30</v>
      </c>
      <c r="H34" s="60">
        <f t="shared" si="4"/>
        <v>17724.807340417497</v>
      </c>
      <c r="I34" s="38">
        <f t="shared" si="0"/>
        <v>618.64964894169339</v>
      </c>
      <c r="J34" s="38">
        <f>Table2[[#This Row],[PAYMENT]]-Table2[[#This Row],[INTEREST]]</f>
        <v>530.02561223960583</v>
      </c>
      <c r="K34" s="39">
        <f t="shared" si="1"/>
        <v>88.624036702087494</v>
      </c>
      <c r="L34" s="39">
        <f t="shared" si="2"/>
        <v>17194.781728177892</v>
      </c>
    </row>
    <row r="35" spans="7:12" x14ac:dyDescent="0.35">
      <c r="G35">
        <v>31</v>
      </c>
      <c r="H35" s="60">
        <f t="shared" si="4"/>
        <v>17194.781728177892</v>
      </c>
      <c r="I35" s="38">
        <f t="shared" si="0"/>
        <v>618.64964894169327</v>
      </c>
      <c r="J35" s="38">
        <f>Table2[[#This Row],[PAYMENT]]-Table2[[#This Row],[INTEREST]]</f>
        <v>532.6757403008038</v>
      </c>
      <c r="K35" s="39">
        <f t="shared" si="1"/>
        <v>85.973908640889462</v>
      </c>
      <c r="L35" s="39">
        <f t="shared" si="2"/>
        <v>16662.105987877087</v>
      </c>
    </row>
    <row r="36" spans="7:12" x14ac:dyDescent="0.35">
      <c r="G36">
        <v>32</v>
      </c>
      <c r="H36" s="60">
        <f t="shared" si="4"/>
        <v>16662.105987877087</v>
      </c>
      <c r="I36" s="38">
        <f t="shared" si="0"/>
        <v>618.64964894169327</v>
      </c>
      <c r="J36" s="38">
        <f>Table2[[#This Row],[PAYMENT]]-Table2[[#This Row],[INTEREST]]</f>
        <v>535.33911900230783</v>
      </c>
      <c r="K36" s="39">
        <f t="shared" si="1"/>
        <v>83.310529939385432</v>
      </c>
      <c r="L36" s="39">
        <f t="shared" si="2"/>
        <v>16126.766868874778</v>
      </c>
    </row>
    <row r="37" spans="7:12" x14ac:dyDescent="0.35">
      <c r="G37">
        <v>33</v>
      </c>
      <c r="H37" s="60">
        <f t="shared" si="4"/>
        <v>16126.766868874778</v>
      </c>
      <c r="I37" s="38">
        <f t="shared" si="0"/>
        <v>618.64964894169339</v>
      </c>
      <c r="J37" s="38">
        <f>Table2[[#This Row],[PAYMENT]]-Table2[[#This Row],[INTEREST]]</f>
        <v>538.01581459731949</v>
      </c>
      <c r="K37" s="39">
        <f t="shared" si="1"/>
        <v>80.633834344373895</v>
      </c>
      <c r="L37" s="39">
        <f t="shared" si="2"/>
        <v>15588.751054277458</v>
      </c>
    </row>
    <row r="38" spans="7:12" x14ac:dyDescent="0.35">
      <c r="G38">
        <v>34</v>
      </c>
      <c r="H38" s="60">
        <f t="shared" si="4"/>
        <v>15588.751054277458</v>
      </c>
      <c r="I38" s="38">
        <f t="shared" si="0"/>
        <v>618.64964894169327</v>
      </c>
      <c r="J38" s="38">
        <f>Table2[[#This Row],[PAYMENT]]-Table2[[#This Row],[INTEREST]]</f>
        <v>540.70589367030595</v>
      </c>
      <c r="K38" s="39">
        <f t="shared" si="1"/>
        <v>77.943755271387289</v>
      </c>
      <c r="L38" s="39">
        <f t="shared" si="2"/>
        <v>15048.045160607153</v>
      </c>
    </row>
    <row r="39" spans="7:12" x14ac:dyDescent="0.35">
      <c r="G39">
        <v>35</v>
      </c>
      <c r="H39" s="60">
        <f t="shared" si="4"/>
        <v>15048.045160607153</v>
      </c>
      <c r="I39" s="38">
        <f t="shared" si="0"/>
        <v>618.6496489416935</v>
      </c>
      <c r="J39" s="38">
        <f>Table2[[#This Row],[PAYMENT]]-Table2[[#This Row],[INTEREST]]</f>
        <v>543.40942313865776</v>
      </c>
      <c r="K39" s="39">
        <f t="shared" si="1"/>
        <v>75.24022580303577</v>
      </c>
      <c r="L39" s="39">
        <f t="shared" si="2"/>
        <v>14504.635737468496</v>
      </c>
    </row>
    <row r="40" spans="7:12" x14ac:dyDescent="0.35">
      <c r="G40">
        <v>36</v>
      </c>
      <c r="H40" s="60">
        <f t="shared" si="4"/>
        <v>14504.635737468496</v>
      </c>
      <c r="I40" s="38">
        <f t="shared" si="0"/>
        <v>618.64964894169339</v>
      </c>
      <c r="J40" s="38">
        <f>Table2[[#This Row],[PAYMENT]]-Table2[[#This Row],[INTEREST]]</f>
        <v>546.12647025435092</v>
      </c>
      <c r="K40" s="39">
        <f t="shared" si="1"/>
        <v>72.52317868734248</v>
      </c>
      <c r="L40" s="39">
        <f t="shared" si="2"/>
        <v>13958.509267214145</v>
      </c>
    </row>
    <row r="41" spans="7:12" x14ac:dyDescent="0.35">
      <c r="G41">
        <v>37</v>
      </c>
      <c r="H41" s="60">
        <f t="shared" si="4"/>
        <v>13958.509267214145</v>
      </c>
      <c r="I41" s="38">
        <f t="shared" si="0"/>
        <v>618.64964894169339</v>
      </c>
      <c r="J41" s="38">
        <f>Table2[[#This Row],[PAYMENT]]-Table2[[#This Row],[INTEREST]]</f>
        <v>548.85710260562269</v>
      </c>
      <c r="K41" s="39">
        <f t="shared" si="1"/>
        <v>69.792546336070728</v>
      </c>
      <c r="L41" s="39">
        <f t="shared" si="2"/>
        <v>13409.652164608522</v>
      </c>
    </row>
    <row r="42" spans="7:12" x14ac:dyDescent="0.35">
      <c r="G42">
        <v>38</v>
      </c>
      <c r="H42" s="60">
        <f t="shared" si="4"/>
        <v>13409.652164608522</v>
      </c>
      <c r="I42" s="38">
        <f t="shared" si="0"/>
        <v>618.64964894169339</v>
      </c>
      <c r="J42" s="38">
        <f>Table2[[#This Row],[PAYMENT]]-Table2[[#This Row],[INTEREST]]</f>
        <v>551.60138811865079</v>
      </c>
      <c r="K42" s="39">
        <f t="shared" si="1"/>
        <v>67.048260823042611</v>
      </c>
      <c r="L42" s="39">
        <f t="shared" si="2"/>
        <v>12858.050776489872</v>
      </c>
    </row>
    <row r="43" spans="7:12" x14ac:dyDescent="0.35">
      <c r="G43">
        <v>39</v>
      </c>
      <c r="H43" s="60">
        <f t="shared" si="4"/>
        <v>12858.050776489872</v>
      </c>
      <c r="I43" s="38">
        <f t="shared" si="0"/>
        <v>618.64964894169339</v>
      </c>
      <c r="J43" s="38">
        <f>Table2[[#This Row],[PAYMENT]]-Table2[[#This Row],[INTEREST]]</f>
        <v>554.35939505924398</v>
      </c>
      <c r="K43" s="39">
        <f t="shared" si="1"/>
        <v>64.290253882449363</v>
      </c>
      <c r="L43" s="39">
        <f t="shared" si="2"/>
        <v>12303.691381430628</v>
      </c>
    </row>
    <row r="44" spans="7:12" x14ac:dyDescent="0.35">
      <c r="G44">
        <v>40</v>
      </c>
      <c r="H44" s="60">
        <f t="shared" si="4"/>
        <v>12303.691381430628</v>
      </c>
      <c r="I44" s="38">
        <f t="shared" si="0"/>
        <v>618.64964894169339</v>
      </c>
      <c r="J44" s="38">
        <f>Table2[[#This Row],[PAYMENT]]-Table2[[#This Row],[INTEREST]]</f>
        <v>557.13119203454028</v>
      </c>
      <c r="K44" s="39">
        <f t="shared" si="1"/>
        <v>61.518456907153144</v>
      </c>
      <c r="L44" s="39">
        <f t="shared" si="2"/>
        <v>11746.560189396088</v>
      </c>
    </row>
    <row r="45" spans="7:12" x14ac:dyDescent="0.35">
      <c r="G45">
        <v>41</v>
      </c>
      <c r="H45" s="60">
        <f t="shared" si="4"/>
        <v>11746.560189396088</v>
      </c>
      <c r="I45" s="38">
        <f t="shared" si="0"/>
        <v>618.6496489416935</v>
      </c>
      <c r="J45" s="38">
        <f>Table2[[#This Row],[PAYMENT]]-Table2[[#This Row],[INTEREST]]</f>
        <v>559.91684799471307</v>
      </c>
      <c r="K45" s="39">
        <f t="shared" si="1"/>
        <v>58.73280094698044</v>
      </c>
      <c r="L45" s="39">
        <f t="shared" si="2"/>
        <v>11186.643341401375</v>
      </c>
    </row>
    <row r="46" spans="7:12" x14ac:dyDescent="0.35">
      <c r="G46">
        <v>42</v>
      </c>
      <c r="H46" s="60">
        <f t="shared" si="4"/>
        <v>11186.643341401375</v>
      </c>
      <c r="I46" s="38">
        <f t="shared" si="0"/>
        <v>618.6496489416935</v>
      </c>
      <c r="J46" s="38">
        <f>Table2[[#This Row],[PAYMENT]]-Table2[[#This Row],[INTEREST]]</f>
        <v>562.71643223468664</v>
      </c>
      <c r="K46" s="39">
        <f t="shared" si="1"/>
        <v>55.933216707006878</v>
      </c>
      <c r="L46" s="39">
        <f t="shared" si="2"/>
        <v>10623.926909166688</v>
      </c>
    </row>
    <row r="47" spans="7:12" x14ac:dyDescent="0.35">
      <c r="G47">
        <v>43</v>
      </c>
      <c r="H47" s="60">
        <f t="shared" ref="H47:H64" si="5">L46</f>
        <v>10623.926909166688</v>
      </c>
      <c r="I47" s="38">
        <f t="shared" si="0"/>
        <v>618.64964894169339</v>
      </c>
      <c r="J47" s="38">
        <f>Table2[[#This Row],[PAYMENT]]-Table2[[#This Row],[INTEREST]]</f>
        <v>565.53001439585989</v>
      </c>
      <c r="K47" s="39">
        <f t="shared" si="1"/>
        <v>53.119634545833442</v>
      </c>
      <c r="L47" s="39">
        <f t="shared" si="2"/>
        <v>10058.396894770829</v>
      </c>
    </row>
    <row r="48" spans="7:12" x14ac:dyDescent="0.35">
      <c r="G48">
        <v>44</v>
      </c>
      <c r="H48" s="60">
        <f t="shared" si="5"/>
        <v>10058.396894770829</v>
      </c>
      <c r="I48" s="38">
        <f t="shared" si="0"/>
        <v>618.64964894169361</v>
      </c>
      <c r="J48" s="38">
        <f>Table2[[#This Row],[PAYMENT]]-Table2[[#This Row],[INTEREST]]</f>
        <v>568.35766446783941</v>
      </c>
      <c r="K48" s="39">
        <f t="shared" si="1"/>
        <v>50.291984473854143</v>
      </c>
      <c r="L48" s="39">
        <f t="shared" si="2"/>
        <v>9490.0392303029894</v>
      </c>
    </row>
    <row r="49" spans="7:12" x14ac:dyDescent="0.35">
      <c r="G49">
        <v>45</v>
      </c>
      <c r="H49" s="60">
        <f t="shared" si="5"/>
        <v>9490.0392303029894</v>
      </c>
      <c r="I49" s="38">
        <f t="shared" si="0"/>
        <v>618.6496489416935</v>
      </c>
      <c r="J49" s="38">
        <f>Table2[[#This Row],[PAYMENT]]-Table2[[#This Row],[INTEREST]]</f>
        <v>571.19945279017861</v>
      </c>
      <c r="K49" s="39">
        <f t="shared" si="1"/>
        <v>47.450196151514945</v>
      </c>
      <c r="L49" s="39">
        <f t="shared" si="2"/>
        <v>8918.8397775128105</v>
      </c>
    </row>
    <row r="50" spans="7:12" x14ac:dyDescent="0.35">
      <c r="G50">
        <v>46</v>
      </c>
      <c r="H50" s="60">
        <f t="shared" si="5"/>
        <v>8918.8397775128105</v>
      </c>
      <c r="I50" s="38">
        <f t="shared" si="0"/>
        <v>618.6496489416935</v>
      </c>
      <c r="J50" s="38">
        <f>Table2[[#This Row],[PAYMENT]]-Table2[[#This Row],[INTEREST]]</f>
        <v>574.05545005412944</v>
      </c>
      <c r="K50" s="39">
        <f t="shared" si="1"/>
        <v>44.594198887564055</v>
      </c>
      <c r="L50" s="39">
        <f t="shared" si="2"/>
        <v>8344.7843274586812</v>
      </c>
    </row>
    <row r="51" spans="7:12" x14ac:dyDescent="0.35">
      <c r="G51">
        <v>47</v>
      </c>
      <c r="H51" s="60">
        <f t="shared" si="5"/>
        <v>8344.7843274586812</v>
      </c>
      <c r="I51" s="38">
        <f t="shared" si="0"/>
        <v>618.64964894169361</v>
      </c>
      <c r="J51" s="38">
        <f>Table2[[#This Row],[PAYMENT]]-Table2[[#This Row],[INTEREST]]</f>
        <v>576.9257273044002</v>
      </c>
      <c r="K51" s="39">
        <f t="shared" si="1"/>
        <v>41.723921637293408</v>
      </c>
      <c r="L51" s="39">
        <f t="shared" si="2"/>
        <v>7767.8586001542808</v>
      </c>
    </row>
    <row r="52" spans="7:12" x14ac:dyDescent="0.35">
      <c r="G52">
        <v>48</v>
      </c>
      <c r="H52" s="60">
        <f t="shared" si="5"/>
        <v>7767.8586001542808</v>
      </c>
      <c r="I52" s="38">
        <f t="shared" si="0"/>
        <v>618.6496489416935</v>
      </c>
      <c r="J52" s="38">
        <f>Table2[[#This Row],[PAYMENT]]-Table2[[#This Row],[INTEREST]]</f>
        <v>579.81035594092214</v>
      </c>
      <c r="K52" s="39">
        <f t="shared" si="1"/>
        <v>38.839293000771406</v>
      </c>
      <c r="L52" s="39">
        <f t="shared" si="2"/>
        <v>7188.0482442133589</v>
      </c>
    </row>
    <row r="53" spans="7:12" x14ac:dyDescent="0.35">
      <c r="G53">
        <v>49</v>
      </c>
      <c r="H53" s="60">
        <f t="shared" si="5"/>
        <v>7188.0482442133589</v>
      </c>
      <c r="I53" s="38">
        <f t="shared" si="0"/>
        <v>618.6496489416935</v>
      </c>
      <c r="J53" s="38">
        <f>Table2[[#This Row],[PAYMENT]]-Table2[[#This Row],[INTEREST]]</f>
        <v>582.7094077206267</v>
      </c>
      <c r="K53" s="39">
        <f t="shared" si="1"/>
        <v>35.940241221066792</v>
      </c>
      <c r="L53" s="39">
        <f t="shared" si="2"/>
        <v>6605.3388364927323</v>
      </c>
    </row>
    <row r="54" spans="7:12" x14ac:dyDescent="0.35">
      <c r="G54">
        <v>50</v>
      </c>
      <c r="H54" s="60">
        <f t="shared" si="5"/>
        <v>6605.3388364927323</v>
      </c>
      <c r="I54" s="38">
        <f t="shared" si="0"/>
        <v>618.6496489416935</v>
      </c>
      <c r="J54" s="38">
        <f>Table2[[#This Row],[PAYMENT]]-Table2[[#This Row],[INTEREST]]</f>
        <v>585.62295475922986</v>
      </c>
      <c r="K54" s="39">
        <f t="shared" si="1"/>
        <v>33.026694182463665</v>
      </c>
      <c r="L54" s="39">
        <f t="shared" si="2"/>
        <v>6019.7158817335021</v>
      </c>
    </row>
    <row r="55" spans="7:12" x14ac:dyDescent="0.35">
      <c r="G55">
        <v>51</v>
      </c>
      <c r="H55" s="60">
        <f t="shared" si="5"/>
        <v>6019.7158817335021</v>
      </c>
      <c r="I55" s="38">
        <f t="shared" si="0"/>
        <v>618.6496489416935</v>
      </c>
      <c r="J55" s="38">
        <f>Table2[[#This Row],[PAYMENT]]-Table2[[#This Row],[INTEREST]]</f>
        <v>588.55106953302595</v>
      </c>
      <c r="K55" s="39">
        <f t="shared" si="1"/>
        <v>30.098579408667511</v>
      </c>
      <c r="L55" s="39">
        <f t="shared" si="2"/>
        <v>5431.1648122004763</v>
      </c>
    </row>
    <row r="56" spans="7:12" x14ac:dyDescent="0.35">
      <c r="G56">
        <v>52</v>
      </c>
      <c r="H56" s="60">
        <f t="shared" si="5"/>
        <v>5431.1648122004763</v>
      </c>
      <c r="I56" s="38">
        <f t="shared" si="0"/>
        <v>618.6496489416935</v>
      </c>
      <c r="J56" s="38">
        <f>Table2[[#This Row],[PAYMENT]]-Table2[[#This Row],[INTEREST]]</f>
        <v>591.49382488069114</v>
      </c>
      <c r="K56" s="39">
        <f t="shared" si="1"/>
        <v>27.155824061002381</v>
      </c>
      <c r="L56" s="39">
        <f t="shared" si="2"/>
        <v>4839.6709873197851</v>
      </c>
    </row>
    <row r="57" spans="7:12" x14ac:dyDescent="0.35">
      <c r="G57">
        <v>53</v>
      </c>
      <c r="H57" s="60">
        <f t="shared" si="5"/>
        <v>4839.6709873197851</v>
      </c>
      <c r="I57" s="38">
        <f t="shared" si="0"/>
        <v>618.6496489416935</v>
      </c>
      <c r="J57" s="38">
        <f>Table2[[#This Row],[PAYMENT]]-Table2[[#This Row],[INTEREST]]</f>
        <v>594.45129400509461</v>
      </c>
      <c r="K57" s="39">
        <f t="shared" si="1"/>
        <v>24.198354936598925</v>
      </c>
      <c r="L57" s="39">
        <f t="shared" si="2"/>
        <v>4245.2196933146906</v>
      </c>
    </row>
    <row r="58" spans="7:12" x14ac:dyDescent="0.35">
      <c r="G58">
        <v>54</v>
      </c>
      <c r="H58" s="60">
        <f t="shared" si="5"/>
        <v>4245.2196933146906</v>
      </c>
      <c r="I58" s="38">
        <f t="shared" si="0"/>
        <v>618.64964894169373</v>
      </c>
      <c r="J58" s="38">
        <f>Table2[[#This Row],[PAYMENT]]-Table2[[#This Row],[INTEREST]]</f>
        <v>597.42355047512024</v>
      </c>
      <c r="K58" s="39">
        <f t="shared" si="1"/>
        <v>21.226098466573454</v>
      </c>
      <c r="L58" s="39">
        <f t="shared" si="2"/>
        <v>3647.7961428395702</v>
      </c>
    </row>
    <row r="59" spans="7:12" x14ac:dyDescent="0.35">
      <c r="G59">
        <v>55</v>
      </c>
      <c r="H59" s="60">
        <f t="shared" si="5"/>
        <v>3647.7961428395702</v>
      </c>
      <c r="I59" s="38">
        <f t="shared" si="0"/>
        <v>618.6496489416935</v>
      </c>
      <c r="J59" s="38">
        <f>Table2[[#This Row],[PAYMENT]]-Table2[[#This Row],[INTEREST]]</f>
        <v>600.41066822749565</v>
      </c>
      <c r="K59" s="39">
        <f t="shared" si="1"/>
        <v>18.238980714197851</v>
      </c>
      <c r="L59" s="39">
        <f t="shared" si="2"/>
        <v>3047.3854746120746</v>
      </c>
    </row>
    <row r="60" spans="7:12" x14ac:dyDescent="0.35">
      <c r="G60">
        <v>56</v>
      </c>
      <c r="H60" s="60">
        <f t="shared" si="5"/>
        <v>3047.3854746120746</v>
      </c>
      <c r="I60" s="38">
        <f t="shared" si="0"/>
        <v>618.64964894169361</v>
      </c>
      <c r="J60" s="38">
        <f>Table2[[#This Row],[PAYMENT]]-Table2[[#This Row],[INTEREST]]</f>
        <v>603.41272156863329</v>
      </c>
      <c r="K60" s="39">
        <f t="shared" si="1"/>
        <v>15.236927373060373</v>
      </c>
      <c r="L60" s="39">
        <f t="shared" si="2"/>
        <v>2443.9727530434411</v>
      </c>
    </row>
    <row r="61" spans="7:12" x14ac:dyDescent="0.35">
      <c r="G61">
        <v>57</v>
      </c>
      <c r="H61" s="60">
        <f t="shared" si="5"/>
        <v>2443.9727530434411</v>
      </c>
      <c r="I61" s="38">
        <f t="shared" si="0"/>
        <v>618.64964894169361</v>
      </c>
      <c r="J61" s="38">
        <f>Table2[[#This Row],[PAYMENT]]-Table2[[#This Row],[INTEREST]]</f>
        <v>606.42978517647646</v>
      </c>
      <c r="K61" s="39">
        <f t="shared" si="1"/>
        <v>12.219863765217205</v>
      </c>
      <c r="L61" s="39">
        <f t="shared" si="2"/>
        <v>1837.5429678669648</v>
      </c>
    </row>
    <row r="62" spans="7:12" x14ac:dyDescent="0.35">
      <c r="G62">
        <v>58</v>
      </c>
      <c r="H62" s="60">
        <f t="shared" si="5"/>
        <v>1837.5429678669648</v>
      </c>
      <c r="I62" s="38">
        <f t="shared" si="0"/>
        <v>618.64964894169361</v>
      </c>
      <c r="J62" s="38">
        <f>Table2[[#This Row],[PAYMENT]]-Table2[[#This Row],[INTEREST]]</f>
        <v>609.46193410235878</v>
      </c>
      <c r="K62" s="39">
        <f t="shared" si="1"/>
        <v>9.1877148393348236</v>
      </c>
      <c r="L62" s="39">
        <f t="shared" si="2"/>
        <v>1228.081033764606</v>
      </c>
    </row>
    <row r="63" spans="7:12" x14ac:dyDescent="0.35">
      <c r="G63">
        <v>59</v>
      </c>
      <c r="H63" s="60">
        <f t="shared" si="5"/>
        <v>1228.081033764606</v>
      </c>
      <c r="I63" s="38">
        <f t="shared" si="0"/>
        <v>618.64964894169373</v>
      </c>
      <c r="J63" s="38">
        <f>Table2[[#This Row],[PAYMENT]]-Table2[[#This Row],[INTEREST]]</f>
        <v>612.50924377287072</v>
      </c>
      <c r="K63" s="39">
        <f t="shared" si="1"/>
        <v>6.1404051688230297</v>
      </c>
      <c r="L63" s="39">
        <f t="shared" si="2"/>
        <v>615.57178999173527</v>
      </c>
    </row>
    <row r="64" spans="7:12" x14ac:dyDescent="0.35">
      <c r="G64">
        <v>60</v>
      </c>
      <c r="H64" s="60">
        <f t="shared" si="5"/>
        <v>615.57178999173527</v>
      </c>
      <c r="I64" s="38">
        <f t="shared" si="0"/>
        <v>618.64964894169395</v>
      </c>
      <c r="J64" s="38">
        <f>Table2[[#This Row],[PAYMENT]]-Table2[[#This Row],[INTEREST]]</f>
        <v>615.57178999173527</v>
      </c>
      <c r="K64" s="39">
        <f t="shared" si="1"/>
        <v>3.0778589499586766</v>
      </c>
      <c r="L64" s="39">
        <f t="shared" si="2"/>
        <v>0</v>
      </c>
    </row>
  </sheetData>
  <mergeCells count="2">
    <mergeCell ref="B3:E3"/>
    <mergeCell ref="G3:L3"/>
  </mergeCells>
  <dataValidations count="1">
    <dataValidation type="list" allowBlank="1" showInputMessage="1" showErrorMessage="1" sqref="D9" xr:uid="{6286E663-FDD4-44FF-AE60-CFB500CD4EE1}">
      <formula1>"36,48,60,72,84"</formula1>
    </dataValidation>
  </dataValidations>
  <pageMargins left="0.7" right="0.7" top="0.75" bottom="0.75" header="0.3" footer="0.3"/>
  <ignoredErrors>
    <ignoredError sqref="H5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85D4-5729-47ED-80CD-485F1C89F4F6}">
  <dimension ref="B2:E20"/>
  <sheetViews>
    <sheetView showGridLines="0" zoomScale="160" zoomScaleNormal="160" workbookViewId="0">
      <selection activeCell="B19" sqref="B19"/>
    </sheetView>
  </sheetViews>
  <sheetFormatPr defaultRowHeight="14.5" x14ac:dyDescent="0.35"/>
  <cols>
    <col min="1" max="1" width="2.33203125" customWidth="1"/>
    <col min="2" max="2" width="26.9140625" customWidth="1"/>
    <col min="3" max="3" width="2.5" customWidth="1"/>
    <col min="4" max="4" width="20.4140625" customWidth="1"/>
    <col min="5" max="5" width="1.9140625" customWidth="1"/>
  </cols>
  <sheetData>
    <row r="2" spans="2:5" ht="15" thickBot="1" x14ac:dyDescent="0.4"/>
    <row r="3" spans="2:5" ht="24" thickBot="1" x14ac:dyDescent="0.6">
      <c r="B3" s="55" t="s">
        <v>9</v>
      </c>
      <c r="C3" s="56"/>
      <c r="D3" s="56"/>
      <c r="E3" s="57"/>
    </row>
    <row r="4" spans="2:5" ht="15" thickBot="1" x14ac:dyDescent="0.4">
      <c r="B4" s="16"/>
      <c r="C4" s="17"/>
      <c r="D4" s="17"/>
      <c r="E4" s="18"/>
    </row>
    <row r="5" spans="2:5" ht="15" thickBot="1" x14ac:dyDescent="0.4">
      <c r="B5" s="19" t="s">
        <v>5</v>
      </c>
      <c r="C5" s="20"/>
      <c r="D5" s="13">
        <v>100</v>
      </c>
      <c r="E5" s="21"/>
    </row>
    <row r="6" spans="2:5" ht="15" thickBot="1" x14ac:dyDescent="0.4">
      <c r="B6" s="22"/>
      <c r="C6" s="20"/>
      <c r="D6" s="20"/>
      <c r="E6" s="21"/>
    </row>
    <row r="7" spans="2:5" ht="15" thickBot="1" x14ac:dyDescent="0.4">
      <c r="B7" s="19" t="s">
        <v>1</v>
      </c>
      <c r="C7" s="20"/>
      <c r="D7" s="14">
        <v>7.0000000000000007E-2</v>
      </c>
      <c r="E7" s="21"/>
    </row>
    <row r="8" spans="2:5" ht="15" thickBot="1" x14ac:dyDescent="0.4">
      <c r="B8" s="22"/>
      <c r="C8" s="20"/>
      <c r="D8" s="20"/>
      <c r="E8" s="21"/>
    </row>
    <row r="9" spans="2:5" ht="15" thickBot="1" x14ac:dyDescent="0.4">
      <c r="B9" s="19" t="s">
        <v>6</v>
      </c>
      <c r="C9" s="20"/>
      <c r="D9" s="1">
        <v>480</v>
      </c>
      <c r="E9" s="21"/>
    </row>
    <row r="10" spans="2:5" ht="15" thickBot="1" x14ac:dyDescent="0.4">
      <c r="B10" s="22"/>
      <c r="C10" s="20"/>
      <c r="D10" s="20"/>
      <c r="E10" s="21"/>
    </row>
    <row r="11" spans="2:5" ht="15" thickBot="1" x14ac:dyDescent="0.4">
      <c r="B11" s="19" t="s">
        <v>7</v>
      </c>
      <c r="C11" s="20"/>
      <c r="D11" s="13">
        <v>200</v>
      </c>
      <c r="E11" s="21"/>
    </row>
    <row r="12" spans="2:5" ht="15" thickBot="1" x14ac:dyDescent="0.4">
      <c r="B12" s="19"/>
      <c r="C12" s="20"/>
      <c r="D12" s="37"/>
      <c r="E12" s="21"/>
    </row>
    <row r="13" spans="2:5" ht="15" thickBot="1" x14ac:dyDescent="0.4">
      <c r="B13" s="19" t="s">
        <v>8</v>
      </c>
      <c r="C13" s="20"/>
      <c r="D13" s="15">
        <f>-FV(D7/12,D9,D11,D5)</f>
        <v>526593.82081569906</v>
      </c>
      <c r="E13" s="21"/>
    </row>
    <row r="14" spans="2:5" ht="15" thickBot="1" x14ac:dyDescent="0.4">
      <c r="B14" s="23"/>
      <c r="C14" s="24"/>
      <c r="D14" s="24"/>
      <c r="E14" s="25"/>
    </row>
    <row r="15" spans="2:5" ht="15" thickBot="1" x14ac:dyDescent="0.4"/>
    <row r="16" spans="2:5" ht="15" thickBot="1" x14ac:dyDescent="0.4">
      <c r="B16" s="16"/>
      <c r="C16" s="17"/>
      <c r="D16" s="17"/>
      <c r="E16" s="18"/>
    </row>
    <row r="17" spans="2:5" ht="15" thickBot="1" x14ac:dyDescent="0.4">
      <c r="B17" s="19" t="s">
        <v>10</v>
      </c>
      <c r="C17" s="20"/>
      <c r="D17" s="13">
        <f>IF(D13&gt;0,D13-D19,0)</f>
        <v>430493.82081569906</v>
      </c>
      <c r="E17" s="21"/>
    </row>
    <row r="18" spans="2:5" ht="15" thickBot="1" x14ac:dyDescent="0.4">
      <c r="B18" s="22"/>
      <c r="C18" s="20"/>
      <c r="D18" s="20"/>
      <c r="E18" s="21"/>
    </row>
    <row r="19" spans="2:5" ht="15" thickBot="1" x14ac:dyDescent="0.4">
      <c r="B19" s="19" t="s">
        <v>11</v>
      </c>
      <c r="C19" s="20"/>
      <c r="D19" s="13">
        <f>D11*D9+D5</f>
        <v>96100</v>
      </c>
      <c r="E19" s="21"/>
    </row>
    <row r="20" spans="2:5" ht="15" thickBot="1" x14ac:dyDescent="0.4">
      <c r="B20" s="23"/>
      <c r="C20" s="24"/>
      <c r="D20" s="24"/>
      <c r="E20" s="25"/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A19D-8289-4F9D-A346-084E63A3FA95}">
  <sheetPr codeName="Sheet4"/>
  <dimension ref="B2:O45"/>
  <sheetViews>
    <sheetView showGridLines="0" zoomScale="160" zoomScaleNormal="160" workbookViewId="0">
      <selection activeCell="D15" sqref="D15"/>
    </sheetView>
  </sheetViews>
  <sheetFormatPr defaultRowHeight="14.5" x14ac:dyDescent="0.35"/>
  <cols>
    <col min="1" max="1" width="2.08203125" customWidth="1"/>
    <col min="2" max="2" width="23.5" customWidth="1"/>
    <col min="3" max="3" width="2.25" customWidth="1"/>
    <col min="4" max="4" width="17.75" customWidth="1"/>
    <col min="5" max="5" width="1.6640625" customWidth="1"/>
    <col min="6" max="6" width="3.4140625" customWidth="1"/>
    <col min="7" max="7" width="15.4140625" customWidth="1"/>
    <col min="8" max="8" width="2.4140625" customWidth="1"/>
    <col min="9" max="9" width="16.6640625" customWidth="1"/>
    <col min="10" max="10" width="1.9140625" customWidth="1"/>
    <col min="11" max="11" width="3.4140625" customWidth="1"/>
    <col min="12" max="12" width="5.75" customWidth="1"/>
    <col min="13" max="13" width="13.1640625" customWidth="1"/>
    <col min="14" max="14" width="14.4140625" customWidth="1"/>
    <col min="15" max="15" width="13.1640625" customWidth="1"/>
  </cols>
  <sheetData>
    <row r="2" spans="2:15" ht="15" thickBot="1" x14ac:dyDescent="0.4"/>
    <row r="3" spans="2:15" ht="24" thickBot="1" x14ac:dyDescent="0.6">
      <c r="B3" s="55" t="s">
        <v>9</v>
      </c>
      <c r="C3" s="56"/>
      <c r="D3" s="56"/>
      <c r="E3" s="57"/>
      <c r="L3" s="55" t="s">
        <v>22</v>
      </c>
      <c r="M3" s="56"/>
      <c r="N3" s="56"/>
      <c r="O3" s="57"/>
    </row>
    <row r="4" spans="2:15" ht="15" thickBot="1" x14ac:dyDescent="0.4">
      <c r="B4" s="16"/>
      <c r="C4" s="17"/>
      <c r="D4" s="17"/>
      <c r="E4" s="18"/>
      <c r="G4" s="27"/>
      <c r="H4" s="28"/>
      <c r="I4" s="28"/>
      <c r="J4" s="29"/>
      <c r="L4" t="s">
        <v>18</v>
      </c>
      <c r="M4" t="s">
        <v>19</v>
      </c>
      <c r="N4" t="s">
        <v>20</v>
      </c>
      <c r="O4" t="s">
        <v>21</v>
      </c>
    </row>
    <row r="5" spans="2:15" ht="15" thickBot="1" x14ac:dyDescent="0.4">
      <c r="B5" s="19" t="s">
        <v>5</v>
      </c>
      <c r="C5" s="20"/>
      <c r="D5" s="13">
        <v>0</v>
      </c>
      <c r="E5" s="21"/>
      <c r="G5" s="26" t="s">
        <v>14</v>
      </c>
      <c r="H5" s="30"/>
      <c r="I5" s="13">
        <v>0</v>
      </c>
      <c r="J5" s="31"/>
      <c r="L5">
        <v>1</v>
      </c>
      <c r="M5" s="38">
        <f>D15</f>
        <v>0</v>
      </c>
      <c r="N5" s="38">
        <f t="shared" ref="N5:N24" si="0">M5*0.04</f>
        <v>0</v>
      </c>
      <c r="O5" s="38">
        <f t="shared" ref="O5:O24" si="1">M5-N5</f>
        <v>0</v>
      </c>
    </row>
    <row r="6" spans="2:15" ht="15" thickBot="1" x14ac:dyDescent="0.4">
      <c r="B6" s="22"/>
      <c r="C6" s="20"/>
      <c r="D6" s="20"/>
      <c r="E6" s="21"/>
      <c r="G6" s="26"/>
      <c r="H6" s="30"/>
      <c r="I6" s="36"/>
      <c r="J6" s="31"/>
      <c r="L6">
        <v>2</v>
      </c>
      <c r="M6" s="38">
        <f>O5*0.07+O5</f>
        <v>0</v>
      </c>
      <c r="N6" s="38">
        <f t="shared" si="0"/>
        <v>0</v>
      </c>
      <c r="O6" s="38">
        <f t="shared" si="1"/>
        <v>0</v>
      </c>
    </row>
    <row r="7" spans="2:15" ht="15" thickBot="1" x14ac:dyDescent="0.4">
      <c r="B7" s="19" t="s">
        <v>1</v>
      </c>
      <c r="C7" s="20"/>
      <c r="D7" s="14">
        <v>3.9E-2</v>
      </c>
      <c r="E7" s="21"/>
      <c r="G7" s="26" t="s">
        <v>16</v>
      </c>
      <c r="H7" s="30"/>
      <c r="I7" s="14">
        <v>0.04</v>
      </c>
      <c r="J7" s="31"/>
      <c r="L7">
        <v>3</v>
      </c>
      <c r="M7" s="38">
        <f t="shared" ref="M7:M14" si="2">O6*0.07+O6</f>
        <v>0</v>
      </c>
      <c r="N7" s="38">
        <f t="shared" si="0"/>
        <v>0</v>
      </c>
      <c r="O7" s="38">
        <f t="shared" si="1"/>
        <v>0</v>
      </c>
    </row>
    <row r="8" spans="2:15" ht="15" thickBot="1" x14ac:dyDescent="0.4">
      <c r="B8" s="22"/>
      <c r="C8" s="20"/>
      <c r="D8" s="20"/>
      <c r="E8" s="21"/>
      <c r="G8" s="32"/>
      <c r="H8" s="30"/>
      <c r="I8" s="30"/>
      <c r="J8" s="31"/>
      <c r="L8">
        <v>4</v>
      </c>
      <c r="M8" s="38">
        <f t="shared" si="2"/>
        <v>0</v>
      </c>
      <c r="N8" s="38">
        <f t="shared" si="0"/>
        <v>0</v>
      </c>
      <c r="O8" s="38">
        <f t="shared" si="1"/>
        <v>0</v>
      </c>
    </row>
    <row r="9" spans="2:15" ht="15" thickBot="1" x14ac:dyDescent="0.4">
      <c r="B9" s="19" t="s">
        <v>6</v>
      </c>
      <c r="C9" s="20"/>
      <c r="D9" s="1">
        <v>60</v>
      </c>
      <c r="E9" s="21"/>
      <c r="G9" s="26" t="s">
        <v>15</v>
      </c>
      <c r="H9" s="30"/>
      <c r="I9" s="13">
        <f>I5*I7</f>
        <v>0</v>
      </c>
      <c r="J9" s="31"/>
      <c r="L9">
        <v>5</v>
      </c>
      <c r="M9" s="38">
        <f t="shared" si="2"/>
        <v>0</v>
      </c>
      <c r="N9" s="38">
        <f t="shared" si="0"/>
        <v>0</v>
      </c>
      <c r="O9" s="38">
        <f t="shared" si="1"/>
        <v>0</v>
      </c>
    </row>
    <row r="10" spans="2:15" ht="15" thickBot="1" x14ac:dyDescent="0.4">
      <c r="B10" s="22"/>
      <c r="C10" s="20"/>
      <c r="D10" s="20"/>
      <c r="E10" s="21"/>
      <c r="G10" s="33"/>
      <c r="H10" s="34"/>
      <c r="I10" s="34"/>
      <c r="J10" s="35"/>
      <c r="L10">
        <v>6</v>
      </c>
      <c r="M10" s="38">
        <f t="shared" si="2"/>
        <v>0</v>
      </c>
      <c r="N10" s="38">
        <f t="shared" si="0"/>
        <v>0</v>
      </c>
      <c r="O10" s="38">
        <f t="shared" si="1"/>
        <v>0</v>
      </c>
    </row>
    <row r="11" spans="2:15" ht="15" thickBot="1" x14ac:dyDescent="0.4">
      <c r="B11" s="19" t="s">
        <v>7</v>
      </c>
      <c r="C11" s="20"/>
      <c r="D11" s="13">
        <v>0</v>
      </c>
      <c r="E11" s="21"/>
      <c r="L11">
        <v>7</v>
      </c>
      <c r="M11" s="38">
        <f t="shared" si="2"/>
        <v>0</v>
      </c>
      <c r="N11" s="38">
        <f t="shared" si="0"/>
        <v>0</v>
      </c>
      <c r="O11" s="38">
        <f t="shared" si="1"/>
        <v>0</v>
      </c>
    </row>
    <row r="12" spans="2:15" ht="15" thickBot="1" x14ac:dyDescent="0.4">
      <c r="B12" s="19"/>
      <c r="C12" s="20"/>
      <c r="D12" s="37"/>
      <c r="E12" s="21"/>
      <c r="L12">
        <v>8</v>
      </c>
      <c r="M12" s="38">
        <f t="shared" si="2"/>
        <v>0</v>
      </c>
      <c r="N12" s="38">
        <f t="shared" si="0"/>
        <v>0</v>
      </c>
      <c r="O12" s="38">
        <f t="shared" si="1"/>
        <v>0</v>
      </c>
    </row>
    <row r="13" spans="2:15" ht="15" thickBot="1" x14ac:dyDescent="0.4">
      <c r="B13" s="19" t="s">
        <v>17</v>
      </c>
      <c r="C13" s="20"/>
      <c r="D13" s="13">
        <f>I9/12</f>
        <v>0</v>
      </c>
      <c r="E13" s="21"/>
      <c r="L13">
        <v>9</v>
      </c>
      <c r="M13" s="38">
        <f t="shared" si="2"/>
        <v>0</v>
      </c>
      <c r="N13" s="38">
        <f t="shared" si="0"/>
        <v>0</v>
      </c>
      <c r="O13" s="38">
        <f t="shared" si="1"/>
        <v>0</v>
      </c>
    </row>
    <row r="14" spans="2:15" ht="15" thickBot="1" x14ac:dyDescent="0.4">
      <c r="B14" s="22"/>
      <c r="C14" s="20"/>
      <c r="D14" s="20"/>
      <c r="E14" s="21"/>
      <c r="L14">
        <v>10</v>
      </c>
      <c r="M14" s="38">
        <f t="shared" si="2"/>
        <v>0</v>
      </c>
      <c r="N14" s="38">
        <f t="shared" si="0"/>
        <v>0</v>
      </c>
      <c r="O14" s="38">
        <f t="shared" si="1"/>
        <v>0</v>
      </c>
    </row>
    <row r="15" spans="2:15" ht="15" thickBot="1" x14ac:dyDescent="0.4">
      <c r="B15" s="19" t="s">
        <v>8</v>
      </c>
      <c r="C15" s="20"/>
      <c r="D15" s="15"/>
      <c r="E15" s="21"/>
      <c r="L15">
        <v>11</v>
      </c>
      <c r="M15" s="38">
        <f t="shared" ref="M15:M24" si="3">O14*0.07+O14</f>
        <v>0</v>
      </c>
      <c r="N15" s="38">
        <f t="shared" si="0"/>
        <v>0</v>
      </c>
      <c r="O15" s="38">
        <f t="shared" si="1"/>
        <v>0</v>
      </c>
    </row>
    <row r="16" spans="2:15" ht="15" thickBot="1" x14ac:dyDescent="0.4">
      <c r="B16" s="23"/>
      <c r="C16" s="24"/>
      <c r="D16" s="24"/>
      <c r="E16" s="25"/>
      <c r="L16">
        <v>12</v>
      </c>
      <c r="M16" s="38">
        <f t="shared" si="3"/>
        <v>0</v>
      </c>
      <c r="N16" s="38">
        <f t="shared" si="0"/>
        <v>0</v>
      </c>
      <c r="O16" s="38">
        <f t="shared" si="1"/>
        <v>0</v>
      </c>
    </row>
    <row r="17" spans="2:15" ht="15" thickBot="1" x14ac:dyDescent="0.4">
      <c r="G17" s="38"/>
      <c r="I17" s="38"/>
      <c r="K17" s="38"/>
      <c r="L17">
        <v>13</v>
      </c>
      <c r="M17" s="38">
        <f t="shared" si="3"/>
        <v>0</v>
      </c>
      <c r="N17" s="38">
        <f t="shared" si="0"/>
        <v>0</v>
      </c>
      <c r="O17" s="38">
        <f t="shared" si="1"/>
        <v>0</v>
      </c>
    </row>
    <row r="18" spans="2:15" ht="15" thickBot="1" x14ac:dyDescent="0.4">
      <c r="B18" s="16"/>
      <c r="C18" s="17"/>
      <c r="D18" s="17"/>
      <c r="E18" s="18"/>
      <c r="L18">
        <v>14</v>
      </c>
      <c r="M18" s="38">
        <f t="shared" si="3"/>
        <v>0</v>
      </c>
      <c r="N18" s="38">
        <f t="shared" si="0"/>
        <v>0</v>
      </c>
      <c r="O18" s="38">
        <f t="shared" si="1"/>
        <v>0</v>
      </c>
    </row>
    <row r="19" spans="2:15" ht="15" thickBot="1" x14ac:dyDescent="0.4">
      <c r="B19" s="19" t="s">
        <v>10</v>
      </c>
      <c r="C19" s="20"/>
      <c r="D19" s="13">
        <f>IF(D15&gt;0,D15-D21,0)</f>
        <v>0</v>
      </c>
      <c r="E19" s="21"/>
      <c r="L19">
        <v>15</v>
      </c>
      <c r="M19" s="38">
        <f t="shared" si="3"/>
        <v>0</v>
      </c>
      <c r="N19" s="38">
        <f t="shared" si="0"/>
        <v>0</v>
      </c>
      <c r="O19" s="38">
        <f t="shared" si="1"/>
        <v>0</v>
      </c>
    </row>
    <row r="20" spans="2:15" ht="15" thickBot="1" x14ac:dyDescent="0.4">
      <c r="B20" s="22"/>
      <c r="C20" s="20"/>
      <c r="D20" s="20"/>
      <c r="E20" s="21"/>
      <c r="L20">
        <v>16</v>
      </c>
      <c r="M20" s="38">
        <f t="shared" si="3"/>
        <v>0</v>
      </c>
      <c r="N20" s="38">
        <f t="shared" si="0"/>
        <v>0</v>
      </c>
      <c r="O20" s="38">
        <f t="shared" si="1"/>
        <v>0</v>
      </c>
    </row>
    <row r="21" spans="2:15" ht="15" thickBot="1" x14ac:dyDescent="0.4">
      <c r="B21" s="19" t="s">
        <v>11</v>
      </c>
      <c r="C21" s="20"/>
      <c r="D21" s="13">
        <f>(D11+D13)*D9+D5</f>
        <v>0</v>
      </c>
      <c r="E21" s="21"/>
      <c r="L21">
        <v>17</v>
      </c>
      <c r="M21" s="38">
        <f t="shared" si="3"/>
        <v>0</v>
      </c>
      <c r="N21" s="38">
        <f t="shared" si="0"/>
        <v>0</v>
      </c>
      <c r="O21" s="38">
        <f t="shared" si="1"/>
        <v>0</v>
      </c>
    </row>
    <row r="22" spans="2:15" ht="15" thickBot="1" x14ac:dyDescent="0.4">
      <c r="B22" s="23"/>
      <c r="C22" s="24"/>
      <c r="D22" s="24"/>
      <c r="E22" s="25"/>
      <c r="L22">
        <v>18</v>
      </c>
      <c r="M22" s="38">
        <f t="shared" si="3"/>
        <v>0</v>
      </c>
      <c r="N22" s="38">
        <f t="shared" si="0"/>
        <v>0</v>
      </c>
      <c r="O22" s="38">
        <f t="shared" si="1"/>
        <v>0</v>
      </c>
    </row>
    <row r="23" spans="2:15" x14ac:dyDescent="0.35">
      <c r="L23">
        <v>19</v>
      </c>
      <c r="M23" s="38">
        <f t="shared" si="3"/>
        <v>0</v>
      </c>
      <c r="N23" s="38">
        <f t="shared" si="0"/>
        <v>0</v>
      </c>
      <c r="O23" s="38">
        <f t="shared" si="1"/>
        <v>0</v>
      </c>
    </row>
    <row r="24" spans="2:15" x14ac:dyDescent="0.35">
      <c r="L24">
        <v>20</v>
      </c>
      <c r="M24" s="38">
        <f t="shared" si="3"/>
        <v>0</v>
      </c>
      <c r="N24" s="38">
        <f t="shared" si="0"/>
        <v>0</v>
      </c>
      <c r="O24" s="38">
        <f t="shared" si="1"/>
        <v>0</v>
      </c>
    </row>
    <row r="45" spans="11:11" x14ac:dyDescent="0.35">
      <c r="K45" s="38"/>
    </row>
  </sheetData>
  <mergeCells count="2">
    <mergeCell ref="B3:E3"/>
    <mergeCell ref="L3:O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335F-C71B-43A7-B28D-0B43EE5B0E2A}">
  <sheetPr codeName="Sheet5"/>
  <dimension ref="A1"/>
  <sheetViews>
    <sheetView workbookViewId="0"/>
  </sheetViews>
  <sheetFormatPr defaultRowHeight="14.5" x14ac:dyDescent="0.35"/>
  <sheetData>
    <row r="1" spans="1:1" x14ac:dyDescent="0.35">
      <c r="A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Expense Tracker</vt:lpstr>
      <vt:lpstr>Monthly Expense Dashboard</vt:lpstr>
      <vt:lpstr>Loan Payment Calculator</vt:lpstr>
      <vt:lpstr>Investment Calculator</vt:lpstr>
      <vt:lpstr>Investment Calculator (Extra)</vt:lpstr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Nedunuri, Sai Mounika</cp:lastModifiedBy>
  <dcterms:created xsi:type="dcterms:W3CDTF">2023-09-11T15:59:21Z</dcterms:created>
  <dcterms:modified xsi:type="dcterms:W3CDTF">2024-07-08T16:47:12Z</dcterms:modified>
</cp:coreProperties>
</file>