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henikoff/Library/CloudStorage/Dropbox-Personal/Files/Teaching/Financial Modeling files/Angell St Coffee/_Angell St Coffee - Techstars GLOBAL - 2024-09/"/>
    </mc:Choice>
  </mc:AlternateContent>
  <xr:revisionPtr revIDLastSave="0" documentId="13_ncr:1_{ACFA0961-F187-8645-896F-3FCE265ACDC1}" xr6:coauthVersionLast="47" xr6:coauthVersionMax="47" xr10:uidLastSave="{00000000-0000-0000-0000-000000000000}"/>
  <bookViews>
    <workbookView xWindow="15180" yWindow="500" windowWidth="37180" windowHeight="26760" activeTab="4" xr2:uid="{0B5F189F-8065-9E4B-8C35-42D9DF5E1B1F}"/>
    <workbookView xWindow="0" yWindow="500" windowWidth="15160" windowHeight="26760" xr2:uid="{4ED632BA-6080-A04A-A4FC-3E3B3EB28BA3}"/>
  </bookViews>
  <sheets>
    <sheet name="Assumptions" sheetId="2" r:id="rId1"/>
    <sheet name="Kiosk P&amp;L" sheetId="3" r:id="rId2"/>
    <sheet name="E-Commerce P&amp;L" sheetId="7" r:id="rId3"/>
    <sheet name="Income Statement - Annual" sheetId="6" r:id="rId4"/>
    <sheet name="Cash Flow - Annual" sheetId="12" r:id="rId5"/>
    <sheet name="Balance Sheet - Annual" sheetId="13" r:id="rId6"/>
    <sheet name="Subscription Details" sheetId="9" r:id="rId7"/>
    <sheet name="Marketing Detail" sheetId="10" r:id="rId8"/>
    <sheet name="Income Statement - Monthly" sheetId="8" r:id="rId9"/>
    <sheet name="Cash Flow - Monthly" sheetId="4" r:id="rId10"/>
    <sheet name="Balance Sheet - Monthly" sheetId="5" r:id="rId11"/>
    <sheet name="Employees" sheetId="11" r:id="rId12"/>
    <sheet name="Unit Economics" sheetId="16" r:id="rId13"/>
    <sheet name="Charts" sheetId="14" r:id="rId14"/>
  </sheets>
  <definedNames>
    <definedName name="APDaysOutstanding">Assumptions!$C$70</definedName>
    <definedName name="APDYASOUTSTANDING">Assumptions!#REF!</definedName>
    <definedName name="ARDaysOutstanding">Assumptions!$C$69</definedName>
    <definedName name="AverageBasketSizeOneTimePurchases">Assumptions!$C$28</definedName>
    <definedName name="AverageCPMAdsSold">Assumptions!$C$33</definedName>
    <definedName name="AverageMonthlySubscriptionPrice">Assumptions!$C$24</definedName>
    <definedName name="AveragePagesPerVisit">Assumptions!$C$34</definedName>
    <definedName name="AverageShippingPerOrder">Assumptions!$C$31</definedName>
    <definedName name="CapitalSeriesA">Assumptions!$C$78</definedName>
    <definedName name="CCProcessingFees">Assumptions!$C$22</definedName>
    <definedName name="COGSOneTimePurchases">Assumptions!$C$29</definedName>
    <definedName name="COGSSubscriptions">Assumptions!$C$25</definedName>
    <definedName name="DaysInventoryOnHand">Assumptions!$C$72</definedName>
    <definedName name="ExecutiveTravelPerMonth">Assumptions!$C$64</definedName>
    <definedName name="FacebookCPC">Assumptions!$C$41</definedName>
    <definedName name="FacebookToOneTimeConversion">Assumptions!$C$50</definedName>
    <definedName name="FacebookToSubConversion">Assumptions!$C$45</definedName>
    <definedName name="GoogleCPC">Assumptions!$C$40</definedName>
    <definedName name="GoogleToOneTimeConversion">Assumptions!$C$49</definedName>
    <definedName name="GoogleToSubConversion">Assumptions!$C$44</definedName>
    <definedName name="InstagramCPC">Assumptions!$C$42</definedName>
    <definedName name="InstagramToOneTimeConversion">Assumptions!$C$51</definedName>
    <definedName name="InstagramToSubConversion">Assumptions!$C$46</definedName>
    <definedName name="InterestOnBankBalances">Assumptions!$C$80</definedName>
    <definedName name="LegalPerMonth">Assumptions!$C$62</definedName>
    <definedName name="Month13Capital">Assumptions!#REF!</definedName>
    <definedName name="Month3Capital">Assumptions!$C$74</definedName>
    <definedName name="MonthlyChurnPercentage">Assumptions!$C$26</definedName>
    <definedName name="MonthlyFacebookSpend">Assumptions!$C$37</definedName>
    <definedName name="MonthlyGoogleSpend">Assumptions!$C$36</definedName>
    <definedName name="MonthlyInstagramSpend">Assumptions!$C$38</definedName>
    <definedName name="NumberOfLocations">'Kiosk P&amp;L'!$F$2</definedName>
    <definedName name="OpeningCapitalStock">Assumptions!$C$67</definedName>
    <definedName name="OpeningCashBalance">Assumptions!$C$66</definedName>
    <definedName name="OrdersPerRepPerMonth">Assumptions!$C$56</definedName>
    <definedName name="OrganicMonthlyGrowthRate">Assumptions!$C$54</definedName>
    <definedName name="OrganicToOneTimeConversion">Assumptions!$C$52</definedName>
    <definedName name="OrganicToSubConversion">Assumptions!$C$47</definedName>
    <definedName name="PreMoneyValuationMonth3">Assumptions!$C$76</definedName>
    <definedName name="SubscriptionMargin">Assumptions!#REF!</definedName>
    <definedName name="TaxesAndBenfits">Assumptions!$C$58</definedName>
    <definedName name="TechCostPerEEPerMonth">Assumptions!$C$60</definedName>
    <definedName name="ValuationMultipleOfRevenue">Assumptions!$C$82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9" l="1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I22" i="2"/>
  <c r="H22" i="2"/>
  <c r="I21" i="2"/>
  <c r="H21" i="2"/>
  <c r="I19" i="2"/>
  <c r="H19" i="2"/>
  <c r="I18" i="2"/>
  <c r="H18" i="2"/>
  <c r="F33" i="12"/>
  <c r="C7" i="2"/>
  <c r="F13" i="10" l="1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H6" i="3"/>
  <c r="AN9" i="11"/>
  <c r="E7" i="3"/>
  <c r="F7" i="3"/>
  <c r="G7" i="3"/>
  <c r="D7" i="3"/>
  <c r="U22" i="4"/>
  <c r="C38" i="2"/>
  <c r="J35" i="10" s="1"/>
  <c r="E45" i="8"/>
  <c r="F45" i="8"/>
  <c r="G45" i="8"/>
  <c r="D45" i="8"/>
  <c r="C37" i="2"/>
  <c r="J21" i="10" s="1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E8" i="16"/>
  <c r="D8" i="16"/>
  <c r="C8" i="16"/>
  <c r="D65" i="10"/>
  <c r="E9" i="8" s="1"/>
  <c r="E65" i="10"/>
  <c r="F9" i="8" s="1"/>
  <c r="C65" i="10"/>
  <c r="D9" i="8" s="1"/>
  <c r="J23" i="10" l="1"/>
  <c r="J30" i="10" s="1"/>
  <c r="J32" i="10" s="1"/>
  <c r="J37" i="10"/>
  <c r="J39" i="10" s="1"/>
  <c r="BI35" i="10"/>
  <c r="BI37" i="10" s="1"/>
  <c r="BI39" i="10" s="1"/>
  <c r="BE35" i="10"/>
  <c r="BE37" i="10" s="1"/>
  <c r="BE39" i="10" s="1"/>
  <c r="BA35" i="10"/>
  <c r="BA37" i="10" s="1"/>
  <c r="BA39" i="10" s="1"/>
  <c r="AW35" i="10"/>
  <c r="AW37" i="10" s="1"/>
  <c r="AW39" i="10" s="1"/>
  <c r="AS35" i="10"/>
  <c r="AS37" i="10" s="1"/>
  <c r="AS39" i="10" s="1"/>
  <c r="AO35" i="10"/>
  <c r="AO37" i="10" s="1"/>
  <c r="AO39" i="10" s="1"/>
  <c r="AK35" i="10"/>
  <c r="AK37" i="10" s="1"/>
  <c r="AK39" i="10" s="1"/>
  <c r="AG35" i="10"/>
  <c r="AG37" i="10" s="1"/>
  <c r="AG39" i="10" s="1"/>
  <c r="AC35" i="10"/>
  <c r="AC37" i="10" s="1"/>
  <c r="AC39" i="10" s="1"/>
  <c r="Y35" i="10"/>
  <c r="Y37" i="10" s="1"/>
  <c r="Y39" i="10" s="1"/>
  <c r="U35" i="10"/>
  <c r="U37" i="10" s="1"/>
  <c r="U39" i="10" s="1"/>
  <c r="Q35" i="10"/>
  <c r="Q37" i="10" s="1"/>
  <c r="Q39" i="10" s="1"/>
  <c r="M35" i="10"/>
  <c r="M37" i="10" s="1"/>
  <c r="M39" i="10" s="1"/>
  <c r="I35" i="10"/>
  <c r="I37" i="10" s="1"/>
  <c r="I39" i="10" s="1"/>
  <c r="BI21" i="10"/>
  <c r="BE21" i="10"/>
  <c r="BA21" i="10"/>
  <c r="AW21" i="10"/>
  <c r="AS21" i="10"/>
  <c r="AO21" i="10"/>
  <c r="AK21" i="10"/>
  <c r="AG21" i="10"/>
  <c r="AC21" i="10"/>
  <c r="Y21" i="10"/>
  <c r="U21" i="10"/>
  <c r="Q21" i="10"/>
  <c r="M21" i="10"/>
  <c r="I21" i="10"/>
  <c r="BH35" i="10"/>
  <c r="BH37" i="10" s="1"/>
  <c r="BH39" i="10" s="1"/>
  <c r="BD35" i="10"/>
  <c r="BD37" i="10" s="1"/>
  <c r="BD39" i="10" s="1"/>
  <c r="AZ35" i="10"/>
  <c r="AZ37" i="10" s="1"/>
  <c r="AZ39" i="10" s="1"/>
  <c r="AV35" i="10"/>
  <c r="AV37" i="10" s="1"/>
  <c r="AV39" i="10" s="1"/>
  <c r="AR35" i="10"/>
  <c r="AR37" i="10" s="1"/>
  <c r="AR39" i="10" s="1"/>
  <c r="AN35" i="10"/>
  <c r="AN37" i="10" s="1"/>
  <c r="AN39" i="10" s="1"/>
  <c r="AJ35" i="10"/>
  <c r="AJ37" i="10" s="1"/>
  <c r="AJ39" i="10" s="1"/>
  <c r="AF35" i="10"/>
  <c r="AF37" i="10" s="1"/>
  <c r="AF39" i="10" s="1"/>
  <c r="AB35" i="10"/>
  <c r="AB37" i="10" s="1"/>
  <c r="AB39" i="10" s="1"/>
  <c r="X35" i="10"/>
  <c r="X37" i="10" s="1"/>
  <c r="X39" i="10" s="1"/>
  <c r="T35" i="10"/>
  <c r="T37" i="10" s="1"/>
  <c r="T39" i="10" s="1"/>
  <c r="P35" i="10"/>
  <c r="P37" i="10" s="1"/>
  <c r="P39" i="10" s="1"/>
  <c r="L35" i="10"/>
  <c r="L37" i="10" s="1"/>
  <c r="L39" i="10" s="1"/>
  <c r="H35" i="10"/>
  <c r="H37" i="10" s="1"/>
  <c r="H39" i="10" s="1"/>
  <c r="BH21" i="10"/>
  <c r="BD21" i="10"/>
  <c r="AZ21" i="10"/>
  <c r="AV21" i="10"/>
  <c r="AR21" i="10"/>
  <c r="AN21" i="10"/>
  <c r="AJ21" i="10"/>
  <c r="AF21" i="10"/>
  <c r="AB21" i="10"/>
  <c r="X21" i="10"/>
  <c r="T21" i="10"/>
  <c r="P21" i="10"/>
  <c r="L21" i="10"/>
  <c r="H21" i="10"/>
  <c r="BG35" i="10"/>
  <c r="BG37" i="10" s="1"/>
  <c r="BG39" i="10" s="1"/>
  <c r="BC35" i="10"/>
  <c r="BC37" i="10" s="1"/>
  <c r="BC39" i="10" s="1"/>
  <c r="AY35" i="10"/>
  <c r="AY37" i="10" s="1"/>
  <c r="AY39" i="10" s="1"/>
  <c r="AU35" i="10"/>
  <c r="AU37" i="10" s="1"/>
  <c r="AU39" i="10" s="1"/>
  <c r="AQ35" i="10"/>
  <c r="AQ37" i="10" s="1"/>
  <c r="AQ39" i="10" s="1"/>
  <c r="AM35" i="10"/>
  <c r="AM37" i="10" s="1"/>
  <c r="AM39" i="10" s="1"/>
  <c r="AI35" i="10"/>
  <c r="AI37" i="10" s="1"/>
  <c r="AI39" i="10" s="1"/>
  <c r="AE35" i="10"/>
  <c r="AE37" i="10" s="1"/>
  <c r="AE39" i="10" s="1"/>
  <c r="AA35" i="10"/>
  <c r="AA37" i="10" s="1"/>
  <c r="AA39" i="10" s="1"/>
  <c r="W35" i="10"/>
  <c r="W37" i="10" s="1"/>
  <c r="W39" i="10" s="1"/>
  <c r="S35" i="10"/>
  <c r="S37" i="10" s="1"/>
  <c r="S39" i="10" s="1"/>
  <c r="O35" i="10"/>
  <c r="O37" i="10" s="1"/>
  <c r="O39" i="10" s="1"/>
  <c r="K35" i="10"/>
  <c r="K37" i="10" s="1"/>
  <c r="K39" i="10" s="1"/>
  <c r="BG21" i="10"/>
  <c r="BC21" i="10"/>
  <c r="AY21" i="10"/>
  <c r="AU21" i="10"/>
  <c r="AQ21" i="10"/>
  <c r="AM21" i="10"/>
  <c r="AI21" i="10"/>
  <c r="AE21" i="10"/>
  <c r="AA21" i="10"/>
  <c r="W21" i="10"/>
  <c r="S21" i="10"/>
  <c r="O21" i="10"/>
  <c r="K21" i="10"/>
  <c r="BJ35" i="10"/>
  <c r="BJ37" i="10" s="1"/>
  <c r="BJ39" i="10" s="1"/>
  <c r="BF35" i="10"/>
  <c r="BF37" i="10" s="1"/>
  <c r="BF39" i="10" s="1"/>
  <c r="BB35" i="10"/>
  <c r="BB37" i="10" s="1"/>
  <c r="BB39" i="10" s="1"/>
  <c r="AX35" i="10"/>
  <c r="AX37" i="10" s="1"/>
  <c r="AX39" i="10" s="1"/>
  <c r="AT35" i="10"/>
  <c r="AT37" i="10" s="1"/>
  <c r="AT39" i="10" s="1"/>
  <c r="AP35" i="10"/>
  <c r="AP37" i="10" s="1"/>
  <c r="AP39" i="10" s="1"/>
  <c r="AL35" i="10"/>
  <c r="AL37" i="10" s="1"/>
  <c r="AL39" i="10" s="1"/>
  <c r="AH35" i="10"/>
  <c r="AH37" i="10" s="1"/>
  <c r="AH39" i="10" s="1"/>
  <c r="AD35" i="10"/>
  <c r="AD37" i="10" s="1"/>
  <c r="AD39" i="10" s="1"/>
  <c r="Z35" i="10"/>
  <c r="Z37" i="10" s="1"/>
  <c r="Z39" i="10" s="1"/>
  <c r="V35" i="10"/>
  <c r="V37" i="10" s="1"/>
  <c r="V39" i="10" s="1"/>
  <c r="R35" i="10"/>
  <c r="R37" i="10" s="1"/>
  <c r="R39" i="10" s="1"/>
  <c r="N35" i="10"/>
  <c r="N37" i="10" s="1"/>
  <c r="N39" i="10" s="1"/>
  <c r="BJ21" i="10"/>
  <c r="BF21" i="10"/>
  <c r="BB21" i="10"/>
  <c r="AX21" i="10"/>
  <c r="AT21" i="10"/>
  <c r="AP21" i="10"/>
  <c r="AL21" i="10"/>
  <c r="AH21" i="10"/>
  <c r="AD21" i="10"/>
  <c r="Z21" i="10"/>
  <c r="V21" i="10"/>
  <c r="R21" i="10"/>
  <c r="N21" i="10"/>
  <c r="E35" i="8"/>
  <c r="F35" i="8"/>
  <c r="G35" i="8"/>
  <c r="E36" i="8"/>
  <c r="F36" i="8"/>
  <c r="G36" i="8"/>
  <c r="E37" i="8"/>
  <c r="F37" i="8"/>
  <c r="G37" i="8"/>
  <c r="D37" i="8"/>
  <c r="D36" i="8"/>
  <c r="D35" i="8"/>
  <c r="E12" i="16"/>
  <c r="D12" i="16"/>
  <c r="D5" i="16"/>
  <c r="E5" i="16"/>
  <c r="D6" i="16"/>
  <c r="E6" i="16"/>
  <c r="C12" i="16"/>
  <c r="C6" i="16"/>
  <c r="C5" i="16"/>
  <c r="Z23" i="10" l="1"/>
  <c r="Z25" i="10" s="1"/>
  <c r="AE23" i="10"/>
  <c r="AE25" i="10" s="1"/>
  <c r="AJ23" i="10"/>
  <c r="AJ30" i="10" s="1"/>
  <c r="AJ32" i="10" s="1"/>
  <c r="AK23" i="10"/>
  <c r="AK25" i="10" s="1"/>
  <c r="H23" i="10"/>
  <c r="H30" i="10" s="1"/>
  <c r="H32" i="10" s="1"/>
  <c r="BD23" i="10"/>
  <c r="BD25" i="10" s="1"/>
  <c r="I23" i="10"/>
  <c r="I25" i="10" s="1"/>
  <c r="Y23" i="10"/>
  <c r="Y30" i="10" s="1"/>
  <c r="Y32" i="10" s="1"/>
  <c r="AO23" i="10"/>
  <c r="AO25" i="10" s="1"/>
  <c r="BE23" i="10"/>
  <c r="BE30" i="10" s="1"/>
  <c r="BE32" i="10" s="1"/>
  <c r="AU23" i="10"/>
  <c r="AU25" i="10" s="1"/>
  <c r="AZ23" i="10"/>
  <c r="AZ25" i="10" s="1"/>
  <c r="BA23" i="10"/>
  <c r="AD23" i="10"/>
  <c r="AD30" i="10" s="1"/>
  <c r="AD32" i="10" s="1"/>
  <c r="AN23" i="10"/>
  <c r="AN30" i="10" s="1"/>
  <c r="AN32" i="10" s="1"/>
  <c r="BC23" i="10"/>
  <c r="BC25" i="10" s="1"/>
  <c r="AR23" i="10"/>
  <c r="AR30" i="10" s="1"/>
  <c r="AR32" i="10" s="1"/>
  <c r="AP23" i="10"/>
  <c r="AP25" i="10" s="1"/>
  <c r="BF23" i="10"/>
  <c r="BF25" i="10" s="1"/>
  <c r="O23" i="10"/>
  <c r="O25" i="10" s="1"/>
  <c r="T23" i="10"/>
  <c r="T30" i="10" s="1"/>
  <c r="T32" i="10" s="1"/>
  <c r="U23" i="10"/>
  <c r="U30" i="10" s="1"/>
  <c r="U32" i="10" s="1"/>
  <c r="N23" i="10"/>
  <c r="N30" i="10" s="1"/>
  <c r="N32" i="10" s="1"/>
  <c r="AT23" i="10"/>
  <c r="AT30" i="10" s="1"/>
  <c r="AT32" i="10" s="1"/>
  <c r="BJ23" i="10"/>
  <c r="BJ30" i="10" s="1"/>
  <c r="BJ32" i="10" s="1"/>
  <c r="S23" i="10"/>
  <c r="S30" i="10" s="1"/>
  <c r="S32" i="10" s="1"/>
  <c r="AI23" i="10"/>
  <c r="AI30" i="10" s="1"/>
  <c r="AI32" i="10" s="1"/>
  <c r="AY23" i="10"/>
  <c r="AY30" i="10" s="1"/>
  <c r="AY32" i="10" s="1"/>
  <c r="X23" i="10"/>
  <c r="X30" i="10" s="1"/>
  <c r="X32" i="10" s="1"/>
  <c r="R23" i="10"/>
  <c r="R25" i="10" s="1"/>
  <c r="AH23" i="10"/>
  <c r="AH25" i="10" s="1"/>
  <c r="AX23" i="10"/>
  <c r="AX25" i="10" s="1"/>
  <c r="W23" i="10"/>
  <c r="W25" i="10" s="1"/>
  <c r="AM23" i="10"/>
  <c r="AM25" i="10" s="1"/>
  <c r="L23" i="10"/>
  <c r="L25" i="10" s="1"/>
  <c r="AB23" i="10"/>
  <c r="AB30" i="10" s="1"/>
  <c r="AB32" i="10" s="1"/>
  <c r="BH23" i="10"/>
  <c r="BH25" i="10" s="1"/>
  <c r="M23" i="10"/>
  <c r="M25" i="10" s="1"/>
  <c r="AC23" i="10"/>
  <c r="AC30" i="10" s="1"/>
  <c r="AC32" i="10" s="1"/>
  <c r="AS23" i="10"/>
  <c r="AS25" i="10" s="1"/>
  <c r="BI23" i="10"/>
  <c r="BI25" i="10" s="1"/>
  <c r="V23" i="10"/>
  <c r="V25" i="10" s="1"/>
  <c r="AL23" i="10"/>
  <c r="AL30" i="10" s="1"/>
  <c r="AL32" i="10" s="1"/>
  <c r="BB23" i="10"/>
  <c r="BB25" i="10" s="1"/>
  <c r="K23" i="10"/>
  <c r="K25" i="10" s="1"/>
  <c r="AA23" i="10"/>
  <c r="AA30" i="10" s="1"/>
  <c r="AA32" i="10" s="1"/>
  <c r="AQ23" i="10"/>
  <c r="AQ30" i="10" s="1"/>
  <c r="AQ32" i="10" s="1"/>
  <c r="BG23" i="10"/>
  <c r="BG30" i="10" s="1"/>
  <c r="BG32" i="10" s="1"/>
  <c r="P23" i="10"/>
  <c r="P30" i="10" s="1"/>
  <c r="P32" i="10" s="1"/>
  <c r="AF23" i="10"/>
  <c r="AF25" i="10" s="1"/>
  <c r="AV23" i="10"/>
  <c r="AV30" i="10" s="1"/>
  <c r="AV32" i="10" s="1"/>
  <c r="Q23" i="10"/>
  <c r="Q25" i="10" s="1"/>
  <c r="AG23" i="10"/>
  <c r="AG30" i="10" s="1"/>
  <c r="AG32" i="10" s="1"/>
  <c r="AW23" i="10"/>
  <c r="AW25" i="10" s="1"/>
  <c r="J25" i="10"/>
  <c r="BJ25" i="10"/>
  <c r="Z30" i="10"/>
  <c r="Z32" i="10" s="1"/>
  <c r="BA25" i="10"/>
  <c r="BA30" i="10"/>
  <c r="BA32" i="10" s="1"/>
  <c r="P25" i="10"/>
  <c r="D7" i="16"/>
  <c r="E7" i="16"/>
  <c r="C7" i="16"/>
  <c r="T25" i="10" l="1"/>
  <c r="AD25" i="10"/>
  <c r="AG25" i="10"/>
  <c r="BH30" i="10"/>
  <c r="BH32" i="10" s="1"/>
  <c r="AR25" i="10"/>
  <c r="X25" i="10"/>
  <c r="AO30" i="10"/>
  <c r="AO32" i="10" s="1"/>
  <c r="H25" i="10"/>
  <c r="W30" i="10"/>
  <c r="W32" i="10" s="1"/>
  <c r="BI30" i="10"/>
  <c r="BI32" i="10" s="1"/>
  <c r="U25" i="10"/>
  <c r="BE25" i="10"/>
  <c r="AC25" i="10"/>
  <c r="AW30" i="10"/>
  <c r="AW32" i="10" s="1"/>
  <c r="AF30" i="10"/>
  <c r="AF32" i="10" s="1"/>
  <c r="M30" i="10"/>
  <c r="M32" i="10" s="1"/>
  <c r="BD30" i="10"/>
  <c r="BD32" i="10" s="1"/>
  <c r="AE30" i="10"/>
  <c r="AE32" i="10" s="1"/>
  <c r="AP30" i="10"/>
  <c r="AP32" i="10" s="1"/>
  <c r="AH30" i="10"/>
  <c r="AH32" i="10" s="1"/>
  <c r="N25" i="10"/>
  <c r="I30" i="10"/>
  <c r="I32" i="10" s="1"/>
  <c r="AV25" i="10"/>
  <c r="AB25" i="10"/>
  <c r="AJ25" i="10"/>
  <c r="AN25" i="10"/>
  <c r="L30" i="10"/>
  <c r="L32" i="10" s="1"/>
  <c r="Y25" i="10"/>
  <c r="Q30" i="10"/>
  <c r="Q32" i="10" s="1"/>
  <c r="AX30" i="10"/>
  <c r="AX32" i="10" s="1"/>
  <c r="AK30" i="10"/>
  <c r="AK32" i="10" s="1"/>
  <c r="AZ30" i="10"/>
  <c r="AZ32" i="10" s="1"/>
  <c r="BB30" i="10"/>
  <c r="BB32" i="10" s="1"/>
  <c r="AU30" i="10"/>
  <c r="AU32" i="10" s="1"/>
  <c r="AI25" i="10"/>
  <c r="AQ25" i="10"/>
  <c r="AS30" i="10"/>
  <c r="AS32" i="10" s="1"/>
  <c r="BF30" i="10"/>
  <c r="BF32" i="10" s="1"/>
  <c r="BG25" i="10"/>
  <c r="S25" i="10"/>
  <c r="AL25" i="10"/>
  <c r="AT25" i="10"/>
  <c r="V30" i="10"/>
  <c r="V32" i="10" s="1"/>
  <c r="O30" i="10"/>
  <c r="O32" i="10" s="1"/>
  <c r="K30" i="10"/>
  <c r="K32" i="10" s="1"/>
  <c r="AY25" i="10"/>
  <c r="BC30" i="10"/>
  <c r="BC32" i="10" s="1"/>
  <c r="AA25" i="10"/>
  <c r="R30" i="10"/>
  <c r="R32" i="10" s="1"/>
  <c r="AM30" i="10"/>
  <c r="AM32" i="10" s="1"/>
  <c r="B5" i="6"/>
  <c r="C16" i="4"/>
  <c r="B14" i="3"/>
  <c r="B10" i="3"/>
  <c r="H15" i="3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L22" i="3" l="1"/>
  <c r="M21" i="3"/>
  <c r="O22" i="3"/>
  <c r="K22" i="3"/>
  <c r="L21" i="3"/>
  <c r="N22" i="3"/>
  <c r="O21" i="3"/>
  <c r="O45" i="8" s="1"/>
  <c r="K21" i="3"/>
  <c r="M22" i="3"/>
  <c r="N21" i="3"/>
  <c r="N45" i="8" s="1"/>
  <c r="J21" i="3"/>
  <c r="J22" i="3"/>
  <c r="I21" i="3"/>
  <c r="I22" i="3"/>
  <c r="H21" i="3"/>
  <c r="H22" i="3"/>
  <c r="M45" i="8" l="1"/>
  <c r="K45" i="8"/>
  <c r="J45" i="8"/>
  <c r="I45" i="8"/>
  <c r="L45" i="8"/>
  <c r="H45" i="8"/>
  <c r="C11" i="5"/>
  <c r="D11" i="5" s="1"/>
  <c r="E11" i="5" s="1"/>
  <c r="F11" i="5" s="1"/>
  <c r="H45" i="6"/>
  <c r="G45" i="6"/>
  <c r="F45" i="6"/>
  <c r="E45" i="6"/>
  <c r="P13" i="3"/>
  <c r="Q13" i="3"/>
  <c r="Q14" i="3" s="1"/>
  <c r="R13" i="3"/>
  <c r="S13" i="3"/>
  <c r="T13" i="3"/>
  <c r="U13" i="3"/>
  <c r="V13" i="3"/>
  <c r="W13" i="3"/>
  <c r="X13" i="3"/>
  <c r="Y13" i="3"/>
  <c r="Z13" i="3"/>
  <c r="AA13" i="3"/>
  <c r="F15" i="13"/>
  <c r="G15" i="13"/>
  <c r="F16" i="13"/>
  <c r="G16" i="13"/>
  <c r="F18" i="13"/>
  <c r="G18" i="13"/>
  <c r="F19" i="13"/>
  <c r="G19" i="13"/>
  <c r="F21" i="13"/>
  <c r="G21" i="13"/>
  <c r="F22" i="13"/>
  <c r="G22" i="13"/>
  <c r="F26" i="13"/>
  <c r="G26" i="13"/>
  <c r="E15" i="13"/>
  <c r="E16" i="13"/>
  <c r="E18" i="13"/>
  <c r="E19" i="13"/>
  <c r="E21" i="13"/>
  <c r="E22" i="13"/>
  <c r="E26" i="13"/>
  <c r="D15" i="13"/>
  <c r="D16" i="13"/>
  <c r="D18" i="13"/>
  <c r="D19" i="13"/>
  <c r="D21" i="13"/>
  <c r="D22" i="13"/>
  <c r="D26" i="13"/>
  <c r="C16" i="13"/>
  <c r="C18" i="13"/>
  <c r="C19" i="13"/>
  <c r="C22" i="13"/>
  <c r="V36" i="5"/>
  <c r="E35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C36" i="5"/>
  <c r="E22" i="4"/>
  <c r="C22" i="12" s="1"/>
  <c r="E16" i="12"/>
  <c r="F16" i="12"/>
  <c r="G16" i="12"/>
  <c r="E17" i="12"/>
  <c r="F17" i="12"/>
  <c r="G17" i="12"/>
  <c r="E22" i="12"/>
  <c r="F22" i="12"/>
  <c r="G22" i="12"/>
  <c r="E24" i="12"/>
  <c r="F24" i="12"/>
  <c r="G24" i="12"/>
  <c r="E25" i="12"/>
  <c r="F25" i="12"/>
  <c r="G25" i="12"/>
  <c r="D16" i="12"/>
  <c r="D17" i="12"/>
  <c r="D24" i="12"/>
  <c r="D25" i="12"/>
  <c r="C16" i="12"/>
  <c r="C17" i="12"/>
  <c r="C24" i="12"/>
  <c r="C25" i="12"/>
  <c r="B7" i="12"/>
  <c r="B8" i="12"/>
  <c r="B9" i="12"/>
  <c r="B10" i="12"/>
  <c r="B5" i="12"/>
  <c r="D4" i="13"/>
  <c r="E4" i="13" s="1"/>
  <c r="F4" i="13" s="1"/>
  <c r="G4" i="13" s="1"/>
  <c r="D4" i="12"/>
  <c r="E4" i="12" s="1"/>
  <c r="F4" i="12" s="1"/>
  <c r="G4" i="12" s="1"/>
  <c r="C23" i="5"/>
  <c r="D23" i="5" s="1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10" i="5"/>
  <c r="C12" i="5" s="1"/>
  <c r="B27" i="12"/>
  <c r="B25" i="12"/>
  <c r="B24" i="12"/>
  <c r="B23" i="12"/>
  <c r="B22" i="12"/>
  <c r="B20" i="12"/>
  <c r="B18" i="12"/>
  <c r="B17" i="12"/>
  <c r="B16" i="12"/>
  <c r="B15" i="12"/>
  <c r="B14" i="12"/>
  <c r="B13" i="12"/>
  <c r="B12" i="12"/>
  <c r="C5" i="4"/>
  <c r="D44" i="8" s="1"/>
  <c r="D45" i="6" l="1"/>
  <c r="G11" i="5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D22" i="12"/>
  <c r="D10" i="5"/>
  <c r="D12" i="5" s="1"/>
  <c r="AA14" i="3"/>
  <c r="AA16" i="3" s="1"/>
  <c r="Y14" i="3"/>
  <c r="Y16" i="3" s="1"/>
  <c r="X14" i="3"/>
  <c r="X16" i="3" s="1"/>
  <c r="W14" i="3"/>
  <c r="W16" i="3" s="1"/>
  <c r="V14" i="3"/>
  <c r="V16" i="3" s="1"/>
  <c r="U14" i="3"/>
  <c r="U16" i="3" s="1"/>
  <c r="T14" i="3"/>
  <c r="T16" i="3" s="1"/>
  <c r="S14" i="3"/>
  <c r="S16" i="3" s="1"/>
  <c r="R14" i="3"/>
  <c r="R16" i="3" s="1"/>
  <c r="Z14" i="3"/>
  <c r="Z16" i="3" s="1"/>
  <c r="Q16" i="3"/>
  <c r="P14" i="3"/>
  <c r="P16" i="3" s="1"/>
  <c r="C11" i="13"/>
  <c r="C5" i="12"/>
  <c r="E36" i="5"/>
  <c r="E37" i="5" s="1"/>
  <c r="E39" i="5" s="1"/>
  <c r="E23" i="5"/>
  <c r="F23" i="5" s="1"/>
  <c r="G23" i="5" s="1"/>
  <c r="E25" i="6"/>
  <c r="F25" i="6"/>
  <c r="G25" i="6"/>
  <c r="H25" i="6"/>
  <c r="D25" i="6"/>
  <c r="E4" i="6"/>
  <c r="F4" i="6" s="1"/>
  <c r="G4" i="6" s="1"/>
  <c r="H4" i="6" s="1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D38" i="8"/>
  <c r="D39" i="8"/>
  <c r="D33" i="8"/>
  <c r="I35" i="7"/>
  <c r="H36" i="8" s="1"/>
  <c r="J35" i="7"/>
  <c r="I36" i="8" s="1"/>
  <c r="K35" i="7"/>
  <c r="J36" i="8" s="1"/>
  <c r="L35" i="7"/>
  <c r="K36" i="8" s="1"/>
  <c r="M35" i="7"/>
  <c r="L36" i="8" s="1"/>
  <c r="N35" i="7"/>
  <c r="M36" i="8" s="1"/>
  <c r="O35" i="7"/>
  <c r="N36" i="8" s="1"/>
  <c r="P35" i="7"/>
  <c r="O36" i="8" s="1"/>
  <c r="Q35" i="7"/>
  <c r="P36" i="8" s="1"/>
  <c r="R35" i="7"/>
  <c r="Q36" i="8" s="1"/>
  <c r="S35" i="7"/>
  <c r="R36" i="8" s="1"/>
  <c r="T35" i="7"/>
  <c r="S36" i="8" s="1"/>
  <c r="U35" i="7"/>
  <c r="T36" i="8" s="1"/>
  <c r="V35" i="7"/>
  <c r="U36" i="8" s="1"/>
  <c r="W35" i="7"/>
  <c r="V36" i="8" s="1"/>
  <c r="X35" i="7"/>
  <c r="W36" i="8" s="1"/>
  <c r="Y35" i="7"/>
  <c r="X36" i="8" s="1"/>
  <c r="Z35" i="7"/>
  <c r="Y36" i="8" s="1"/>
  <c r="AA35" i="7"/>
  <c r="Z36" i="8" s="1"/>
  <c r="AB35" i="7"/>
  <c r="AA36" i="8" s="1"/>
  <c r="AC35" i="7"/>
  <c r="AB36" i="8" s="1"/>
  <c r="AD35" i="7"/>
  <c r="AC36" i="8" s="1"/>
  <c r="AE35" i="7"/>
  <c r="AD36" i="8" s="1"/>
  <c r="AF35" i="7"/>
  <c r="AE36" i="8" s="1"/>
  <c r="AG35" i="7"/>
  <c r="AF36" i="8" s="1"/>
  <c r="AH35" i="7"/>
  <c r="AG36" i="8" s="1"/>
  <c r="AI35" i="7"/>
  <c r="AH36" i="8" s="1"/>
  <c r="AJ35" i="7"/>
  <c r="AI36" i="8" s="1"/>
  <c r="AK35" i="7"/>
  <c r="AJ36" i="8" s="1"/>
  <c r="AL35" i="7"/>
  <c r="AK36" i="8" s="1"/>
  <c r="AM35" i="7"/>
  <c r="AL36" i="8" s="1"/>
  <c r="AN35" i="7"/>
  <c r="AM36" i="8" s="1"/>
  <c r="AO35" i="7"/>
  <c r="AN36" i="8" s="1"/>
  <c r="AP35" i="7"/>
  <c r="AO36" i="8" s="1"/>
  <c r="AQ35" i="7"/>
  <c r="AP36" i="8" s="1"/>
  <c r="AR35" i="7"/>
  <c r="AQ36" i="8" s="1"/>
  <c r="AS35" i="7"/>
  <c r="AR36" i="8" s="1"/>
  <c r="AT35" i="7"/>
  <c r="AS36" i="8" s="1"/>
  <c r="AU35" i="7"/>
  <c r="AT36" i="8" s="1"/>
  <c r="AV35" i="7"/>
  <c r="AU36" i="8" s="1"/>
  <c r="AW35" i="7"/>
  <c r="AV36" i="8" s="1"/>
  <c r="AX35" i="7"/>
  <c r="AW36" i="8" s="1"/>
  <c r="AY35" i="7"/>
  <c r="AX36" i="8" s="1"/>
  <c r="AZ35" i="7"/>
  <c r="AY36" i="8" s="1"/>
  <c r="BA35" i="7"/>
  <c r="AZ36" i="8" s="1"/>
  <c r="BB35" i="7"/>
  <c r="BA36" i="8" s="1"/>
  <c r="BC35" i="7"/>
  <c r="BB36" i="8" s="1"/>
  <c r="BD35" i="7"/>
  <c r="BC36" i="8" s="1"/>
  <c r="BE35" i="7"/>
  <c r="BD36" i="8" s="1"/>
  <c r="BF35" i="7"/>
  <c r="BE36" i="8" s="1"/>
  <c r="BG35" i="7"/>
  <c r="BF36" i="8" s="1"/>
  <c r="BH35" i="7"/>
  <c r="BG36" i="8" s="1"/>
  <c r="BI35" i="7"/>
  <c r="BH36" i="8" s="1"/>
  <c r="BJ35" i="7"/>
  <c r="BI36" i="8" s="1"/>
  <c r="BK35" i="7"/>
  <c r="BJ36" i="8" s="1"/>
  <c r="BL35" i="7"/>
  <c r="BK36" i="8" s="1"/>
  <c r="D18" i="11"/>
  <c r="D26" i="8" s="1"/>
  <c r="B18" i="11"/>
  <c r="F9" i="11"/>
  <c r="P15" i="11"/>
  <c r="J17" i="11"/>
  <c r="V17" i="11"/>
  <c r="D15" i="11"/>
  <c r="D16" i="11"/>
  <c r="D17" i="11"/>
  <c r="D14" i="11"/>
  <c r="B15" i="11"/>
  <c r="B16" i="11"/>
  <c r="B17" i="11"/>
  <c r="B19" i="11"/>
  <c r="B14" i="11"/>
  <c r="E6" i="11"/>
  <c r="E15" i="11" s="1"/>
  <c r="E7" i="11"/>
  <c r="F7" i="11" s="1"/>
  <c r="E8" i="11"/>
  <c r="E17" i="11" s="1"/>
  <c r="E5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D4" i="11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G31" i="10"/>
  <c r="C55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G8" i="9"/>
  <c r="G12" i="9"/>
  <c r="G21" i="10"/>
  <c r="G22" i="10"/>
  <c r="G24" i="10"/>
  <c r="G35" i="10"/>
  <c r="G36" i="10"/>
  <c r="G38" i="10"/>
  <c r="F23" i="8"/>
  <c r="G23" i="8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E23" i="8"/>
  <c r="C51" i="10"/>
  <c r="D23" i="8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C4" i="10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5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D4" i="8"/>
  <c r="BF22" i="7" l="1"/>
  <c r="BD13" i="10"/>
  <c r="AP22" i="7"/>
  <c r="AO23" i="8" s="1"/>
  <c r="AN13" i="10"/>
  <c r="Z22" i="7"/>
  <c r="X13" i="10"/>
  <c r="R22" i="7"/>
  <c r="Q23" i="8" s="1"/>
  <c r="P13" i="10"/>
  <c r="BI22" i="7"/>
  <c r="BG13" i="10"/>
  <c r="BE22" i="7"/>
  <c r="BD23" i="8" s="1"/>
  <c r="BC13" i="10"/>
  <c r="BA22" i="7"/>
  <c r="AY13" i="10"/>
  <c r="AW22" i="7"/>
  <c r="AV23" i="8" s="1"/>
  <c r="AU13" i="10"/>
  <c r="AS22" i="7"/>
  <c r="AR23" i="8" s="1"/>
  <c r="AQ13" i="10"/>
  <c r="AO22" i="7"/>
  <c r="AN23" i="8" s="1"/>
  <c r="AM13" i="10"/>
  <c r="AK22" i="7"/>
  <c r="AI13" i="10"/>
  <c r="AG22" i="7"/>
  <c r="AF23" i="8" s="1"/>
  <c r="AE13" i="10"/>
  <c r="AC22" i="7"/>
  <c r="AA13" i="10"/>
  <c r="Y22" i="7"/>
  <c r="X23" i="8" s="1"/>
  <c r="W13" i="10"/>
  <c r="U22" i="7"/>
  <c r="T23" i="8" s="1"/>
  <c r="S13" i="10"/>
  <c r="Q22" i="7"/>
  <c r="P23" i="8" s="1"/>
  <c r="O13" i="10"/>
  <c r="M22" i="7"/>
  <c r="L23" i="8" s="1"/>
  <c r="K13" i="10"/>
  <c r="I22" i="7"/>
  <c r="H23" i="8" s="1"/>
  <c r="G13" i="10"/>
  <c r="BJ22" i="7"/>
  <c r="BH13" i="10"/>
  <c r="AX22" i="7"/>
  <c r="AW23" i="8" s="1"/>
  <c r="AV13" i="10"/>
  <c r="AL22" i="7"/>
  <c r="AK23" i="8" s="1"/>
  <c r="AJ13" i="10"/>
  <c r="AD22" i="7"/>
  <c r="AC23" i="8" s="1"/>
  <c r="AB13" i="10"/>
  <c r="N22" i="7"/>
  <c r="M23" i="8" s="1"/>
  <c r="L13" i="10"/>
  <c r="BL22" i="7"/>
  <c r="BK23" i="8" s="1"/>
  <c r="BJ13" i="10"/>
  <c r="BH22" i="7"/>
  <c r="BG23" i="8" s="1"/>
  <c r="BF13" i="10"/>
  <c r="BD22" i="7"/>
  <c r="BC23" i="8" s="1"/>
  <c r="BB13" i="10"/>
  <c r="AZ22" i="7"/>
  <c r="AY23" i="8" s="1"/>
  <c r="AX13" i="10"/>
  <c r="AV22" i="7"/>
  <c r="AU23" i="8" s="1"/>
  <c r="AT13" i="10"/>
  <c r="AR22" i="7"/>
  <c r="AP13" i="10"/>
  <c r="AN22" i="7"/>
  <c r="AM23" i="8" s="1"/>
  <c r="AL13" i="10"/>
  <c r="AJ22" i="7"/>
  <c r="AH13" i="10"/>
  <c r="AF22" i="7"/>
  <c r="AE23" i="8" s="1"/>
  <c r="AD13" i="10"/>
  <c r="AB22" i="7"/>
  <c r="AA23" i="8" s="1"/>
  <c r="Z13" i="10"/>
  <c r="X22" i="7"/>
  <c r="W23" i="8" s="1"/>
  <c r="V13" i="10"/>
  <c r="T22" i="7"/>
  <c r="S23" i="8" s="1"/>
  <c r="R13" i="10"/>
  <c r="P22" i="7"/>
  <c r="O23" i="8" s="1"/>
  <c r="N13" i="10"/>
  <c r="L22" i="7"/>
  <c r="J13" i="10"/>
  <c r="BB22" i="7"/>
  <c r="BA23" i="8" s="1"/>
  <c r="AZ13" i="10"/>
  <c r="AT22" i="7"/>
  <c r="AS23" i="8" s="1"/>
  <c r="AR13" i="10"/>
  <c r="AH22" i="7"/>
  <c r="AG23" i="8" s="1"/>
  <c r="AF13" i="10"/>
  <c r="V22" i="7"/>
  <c r="U23" i="8" s="1"/>
  <c r="T13" i="10"/>
  <c r="J22" i="7"/>
  <c r="I23" i="8" s="1"/>
  <c r="H13" i="10"/>
  <c r="BK22" i="7"/>
  <c r="BJ23" i="8" s="1"/>
  <c r="BI13" i="10"/>
  <c r="BG22" i="7"/>
  <c r="BF23" i="8" s="1"/>
  <c r="BE13" i="10"/>
  <c r="BC22" i="7"/>
  <c r="BB23" i="8" s="1"/>
  <c r="BA13" i="10"/>
  <c r="AY22" i="7"/>
  <c r="AX23" i="8" s="1"/>
  <c r="AW13" i="10"/>
  <c r="AU22" i="7"/>
  <c r="AT23" i="8" s="1"/>
  <c r="AS13" i="10"/>
  <c r="AQ22" i="7"/>
  <c r="AP23" i="8" s="1"/>
  <c r="AO13" i="10"/>
  <c r="AM22" i="7"/>
  <c r="AL23" i="8" s="1"/>
  <c r="AK13" i="10"/>
  <c r="AI22" i="7"/>
  <c r="AH23" i="8" s="1"/>
  <c r="AG13" i="10"/>
  <c r="AE22" i="7"/>
  <c r="AD23" i="8" s="1"/>
  <c r="AC13" i="10"/>
  <c r="AA22" i="7"/>
  <c r="Z23" i="8" s="1"/>
  <c r="Y13" i="10"/>
  <c r="W22" i="7"/>
  <c r="V23" i="8" s="1"/>
  <c r="U13" i="10"/>
  <c r="S22" i="7"/>
  <c r="R23" i="8" s="1"/>
  <c r="Q13" i="10"/>
  <c r="O22" i="7"/>
  <c r="N23" i="8" s="1"/>
  <c r="M13" i="10"/>
  <c r="K22" i="7"/>
  <c r="J23" i="8" s="1"/>
  <c r="I13" i="10"/>
  <c r="F5" i="11"/>
  <c r="F8" i="11"/>
  <c r="G8" i="11" s="1"/>
  <c r="H8" i="11" s="1"/>
  <c r="I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BK8" i="11" s="1"/>
  <c r="BK17" i="11" s="1"/>
  <c r="F6" i="11"/>
  <c r="G6" i="11" s="1"/>
  <c r="H6" i="11" s="1"/>
  <c r="I6" i="11" s="1"/>
  <c r="J6" i="11" s="1"/>
  <c r="K6" i="11" s="1"/>
  <c r="L6" i="11" s="1"/>
  <c r="M6" i="11" s="1"/>
  <c r="N6" i="11" s="1"/>
  <c r="O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K15" i="11" s="1"/>
  <c r="F18" i="11"/>
  <c r="F26" i="8" s="1"/>
  <c r="G9" i="11"/>
  <c r="H9" i="11" s="1"/>
  <c r="I9" i="11" s="1"/>
  <c r="AX17" i="11"/>
  <c r="AL17" i="11"/>
  <c r="Z17" i="11"/>
  <c r="E18" i="11"/>
  <c r="E26" i="8" s="1"/>
  <c r="G7" i="11"/>
  <c r="F16" i="11"/>
  <c r="F34" i="8" s="1"/>
  <c r="BB17" i="11"/>
  <c r="AP17" i="11"/>
  <c r="AD17" i="11"/>
  <c r="R17" i="11"/>
  <c r="F17" i="11"/>
  <c r="E16" i="11"/>
  <c r="E34" i="8" s="1"/>
  <c r="AZ15" i="11"/>
  <c r="AO17" i="11"/>
  <c r="AC17" i="11"/>
  <c r="Q17" i="11"/>
  <c r="AY15" i="11"/>
  <c r="AM15" i="11"/>
  <c r="AZ17" i="11"/>
  <c r="AN17" i="11"/>
  <c r="P17" i="11"/>
  <c r="Z15" i="11"/>
  <c r="N15" i="11"/>
  <c r="AY17" i="11"/>
  <c r="AM17" i="11"/>
  <c r="AA17" i="11"/>
  <c r="O17" i="11"/>
  <c r="BI15" i="11"/>
  <c r="X15" i="11"/>
  <c r="AV15" i="11"/>
  <c r="AJ15" i="11"/>
  <c r="G5" i="11"/>
  <c r="BI17" i="11"/>
  <c r="AW17" i="11"/>
  <c r="Y17" i="11"/>
  <c r="M17" i="11"/>
  <c r="AU15" i="11"/>
  <c r="AI15" i="11"/>
  <c r="W15" i="11"/>
  <c r="K15" i="11"/>
  <c r="BJ17" i="11"/>
  <c r="BH17" i="11"/>
  <c r="AV17" i="11"/>
  <c r="X17" i="11"/>
  <c r="L17" i="11"/>
  <c r="AH15" i="11"/>
  <c r="V15" i="11"/>
  <c r="J15" i="11"/>
  <c r="BG17" i="11"/>
  <c r="AU17" i="11"/>
  <c r="AI17" i="11"/>
  <c r="K17" i="11"/>
  <c r="BE15" i="11"/>
  <c r="W17" i="11"/>
  <c r="BF17" i="11"/>
  <c r="AT17" i="11"/>
  <c r="AH17" i="11"/>
  <c r="AR15" i="11"/>
  <c r="AF15" i="11"/>
  <c r="BE17" i="11"/>
  <c r="AS17" i="11"/>
  <c r="U17" i="11"/>
  <c r="I17" i="11"/>
  <c r="BC15" i="11"/>
  <c r="AQ15" i="11"/>
  <c r="AE15" i="11"/>
  <c r="S15" i="11"/>
  <c r="G15" i="11"/>
  <c r="F14" i="11"/>
  <c r="BD17" i="11"/>
  <c r="AR17" i="11"/>
  <c r="AF17" i="11"/>
  <c r="T17" i="11"/>
  <c r="H17" i="11"/>
  <c r="BB15" i="11"/>
  <c r="AP15" i="11"/>
  <c r="AD15" i="11"/>
  <c r="R15" i="11"/>
  <c r="F15" i="11"/>
  <c r="E14" i="11"/>
  <c r="AQ17" i="11"/>
  <c r="AE17" i="11"/>
  <c r="S17" i="11"/>
  <c r="G17" i="11"/>
  <c r="BA15" i="11"/>
  <c r="AO15" i="11"/>
  <c r="AC15" i="11"/>
  <c r="Q15" i="11"/>
  <c r="E10" i="5"/>
  <c r="E12" i="5" s="1"/>
  <c r="D11" i="13"/>
  <c r="D39" i="6"/>
  <c r="D32" i="8"/>
  <c r="BK23" i="7"/>
  <c r="BJ24" i="8" s="1"/>
  <c r="AZ9" i="10"/>
  <c r="AZ16" i="10" s="1"/>
  <c r="AZ18" i="10" s="1"/>
  <c r="D34" i="8"/>
  <c r="AJ9" i="10"/>
  <c r="AJ16" i="10" s="1"/>
  <c r="AJ18" i="10" s="1"/>
  <c r="T9" i="10"/>
  <c r="T16" i="10" s="1"/>
  <c r="T18" i="10" s="1"/>
  <c r="D38" i="6"/>
  <c r="D33" i="6"/>
  <c r="H38" i="6"/>
  <c r="G38" i="6"/>
  <c r="F38" i="6"/>
  <c r="E38" i="6"/>
  <c r="H39" i="6"/>
  <c r="G39" i="6"/>
  <c r="F39" i="6"/>
  <c r="E39" i="6"/>
  <c r="H13" i="6"/>
  <c r="G13" i="6"/>
  <c r="F13" i="6"/>
  <c r="H6" i="6"/>
  <c r="G6" i="6"/>
  <c r="F6" i="6"/>
  <c r="H33" i="6"/>
  <c r="G33" i="6"/>
  <c r="F33" i="6"/>
  <c r="E33" i="6"/>
  <c r="H23" i="5"/>
  <c r="D36" i="6"/>
  <c r="BH23" i="7"/>
  <c r="BG24" i="8" s="1"/>
  <c r="AV23" i="7"/>
  <c r="AU24" i="8" s="1"/>
  <c r="AR23" i="7"/>
  <c r="AQ24" i="8" s="1"/>
  <c r="AJ23" i="7"/>
  <c r="AI24" i="8" s="1"/>
  <c r="BD23" i="7"/>
  <c r="BC24" i="8" s="1"/>
  <c r="BG23" i="7"/>
  <c r="BF24" i="8" s="1"/>
  <c r="BC23" i="7"/>
  <c r="BB24" i="8" s="1"/>
  <c r="AY23" i="7"/>
  <c r="AX24" i="8" s="1"/>
  <c r="AU23" i="7"/>
  <c r="AT24" i="8" s="1"/>
  <c r="AQ23" i="7"/>
  <c r="AP24" i="8" s="1"/>
  <c r="AM23" i="7"/>
  <c r="AL24" i="8" s="1"/>
  <c r="AI23" i="7"/>
  <c r="AH24" i="8" s="1"/>
  <c r="AE23" i="7"/>
  <c r="AD24" i="8" s="1"/>
  <c r="AA23" i="7"/>
  <c r="Z24" i="8" s="1"/>
  <c r="W23" i="7"/>
  <c r="V24" i="8" s="1"/>
  <c r="S23" i="7"/>
  <c r="R24" i="8" s="1"/>
  <c r="O23" i="7"/>
  <c r="N24" i="8" s="1"/>
  <c r="K23" i="7"/>
  <c r="J24" i="8" s="1"/>
  <c r="F24" i="8"/>
  <c r="BJ23" i="7"/>
  <c r="BI24" i="8" s="1"/>
  <c r="BF23" i="7"/>
  <c r="BE24" i="8" s="1"/>
  <c r="BB23" i="7"/>
  <c r="BA24" i="8" s="1"/>
  <c r="AX23" i="7"/>
  <c r="AW24" i="8" s="1"/>
  <c r="AT23" i="7"/>
  <c r="AS24" i="8" s="1"/>
  <c r="AP23" i="7"/>
  <c r="AO24" i="8" s="1"/>
  <c r="AL23" i="7"/>
  <c r="AK24" i="8" s="1"/>
  <c r="AH23" i="7"/>
  <c r="AG24" i="8" s="1"/>
  <c r="AD23" i="7"/>
  <c r="AC24" i="8" s="1"/>
  <c r="Z23" i="7"/>
  <c r="Y24" i="8" s="1"/>
  <c r="V23" i="7"/>
  <c r="U24" i="8" s="1"/>
  <c r="R23" i="7"/>
  <c r="Q24" i="8" s="1"/>
  <c r="N23" i="7"/>
  <c r="M24" i="8" s="1"/>
  <c r="J23" i="7"/>
  <c r="I24" i="8" s="1"/>
  <c r="E24" i="8"/>
  <c r="BH44" i="10"/>
  <c r="BH46" i="10" s="1"/>
  <c r="BD44" i="10"/>
  <c r="BD46" i="10" s="1"/>
  <c r="AZ44" i="10"/>
  <c r="AZ46" i="10" s="1"/>
  <c r="AV44" i="10"/>
  <c r="AV46" i="10" s="1"/>
  <c r="AR44" i="10"/>
  <c r="AR46" i="10" s="1"/>
  <c r="AN44" i="10"/>
  <c r="AN46" i="10" s="1"/>
  <c r="AJ44" i="10"/>
  <c r="AJ46" i="10" s="1"/>
  <c r="AF44" i="10"/>
  <c r="AF46" i="10" s="1"/>
  <c r="AB44" i="10"/>
  <c r="AB46" i="10" s="1"/>
  <c r="X44" i="10"/>
  <c r="X46" i="10" s="1"/>
  <c r="T44" i="10"/>
  <c r="T46" i="10" s="1"/>
  <c r="P44" i="10"/>
  <c r="P46" i="10" s="1"/>
  <c r="L44" i="10"/>
  <c r="L46" i="10" s="1"/>
  <c r="H44" i="10"/>
  <c r="H46" i="10" s="1"/>
  <c r="D44" i="10"/>
  <c r="D46" i="10" s="1"/>
  <c r="D30" i="10"/>
  <c r="D32" i="10" s="1"/>
  <c r="BI23" i="7"/>
  <c r="BH24" i="8" s="1"/>
  <c r="BE23" i="7"/>
  <c r="BD24" i="8" s="1"/>
  <c r="BA23" i="7"/>
  <c r="AZ24" i="8" s="1"/>
  <c r="AW23" i="7"/>
  <c r="AV24" i="8" s="1"/>
  <c r="AS23" i="7"/>
  <c r="AR24" i="8" s="1"/>
  <c r="AO23" i="7"/>
  <c r="AN24" i="8" s="1"/>
  <c r="AK23" i="7"/>
  <c r="AJ24" i="8" s="1"/>
  <c r="AG23" i="7"/>
  <c r="AF24" i="8" s="1"/>
  <c r="AC23" i="7"/>
  <c r="AB24" i="8" s="1"/>
  <c r="Y23" i="7"/>
  <c r="X24" i="8" s="1"/>
  <c r="U23" i="7"/>
  <c r="T24" i="8" s="1"/>
  <c r="Q23" i="7"/>
  <c r="P24" i="8" s="1"/>
  <c r="M23" i="7"/>
  <c r="L24" i="8" s="1"/>
  <c r="I23" i="7"/>
  <c r="H24" i="8" s="1"/>
  <c r="BL23" i="7"/>
  <c r="BK24" i="8" s="1"/>
  <c r="AZ23" i="7"/>
  <c r="AY24" i="8" s="1"/>
  <c r="AN23" i="7"/>
  <c r="AM24" i="8" s="1"/>
  <c r="AF23" i="7"/>
  <c r="AE24" i="8" s="1"/>
  <c r="AB23" i="7"/>
  <c r="AA24" i="8" s="1"/>
  <c r="X23" i="7"/>
  <c r="W24" i="8" s="1"/>
  <c r="T23" i="7"/>
  <c r="S24" i="8" s="1"/>
  <c r="P23" i="7"/>
  <c r="O24" i="8" s="1"/>
  <c r="L23" i="7"/>
  <c r="K24" i="8" s="1"/>
  <c r="G24" i="8"/>
  <c r="G36" i="6"/>
  <c r="H36" i="6"/>
  <c r="F36" i="6"/>
  <c r="E36" i="6"/>
  <c r="C30" i="10"/>
  <c r="C32" i="10" s="1"/>
  <c r="BE23" i="8"/>
  <c r="Y23" i="8"/>
  <c r="BH23" i="8"/>
  <c r="AZ23" i="8"/>
  <c r="AJ23" i="8"/>
  <c r="AB23" i="8"/>
  <c r="BI23" i="8"/>
  <c r="AQ23" i="8"/>
  <c r="AI23" i="8"/>
  <c r="K23" i="8"/>
  <c r="AM9" i="10"/>
  <c r="AM16" i="10" s="1"/>
  <c r="E30" i="10"/>
  <c r="E32" i="10" s="1"/>
  <c r="C57" i="10"/>
  <c r="E55" i="10"/>
  <c r="E57" i="10" s="1"/>
  <c r="D55" i="10"/>
  <c r="D57" i="10" s="1"/>
  <c r="BJ9" i="10"/>
  <c r="BJ16" i="10" s="1"/>
  <c r="BF9" i="10"/>
  <c r="BF16" i="10" s="1"/>
  <c r="BB9" i="10"/>
  <c r="BB16" i="10" s="1"/>
  <c r="AX9" i="10"/>
  <c r="AX16" i="10" s="1"/>
  <c r="AT9" i="10"/>
  <c r="AT16" i="10" s="1"/>
  <c r="AP9" i="10"/>
  <c r="AP16" i="10" s="1"/>
  <c r="AL9" i="10"/>
  <c r="AL16" i="10" s="1"/>
  <c r="AH9" i="10"/>
  <c r="AH16" i="10" s="1"/>
  <c r="AD9" i="10"/>
  <c r="AD16" i="10" s="1"/>
  <c r="Z9" i="10"/>
  <c r="Z16" i="10" s="1"/>
  <c r="V9" i="10"/>
  <c r="V16" i="10" s="1"/>
  <c r="R9" i="10"/>
  <c r="R16" i="10" s="1"/>
  <c r="N9" i="10"/>
  <c r="N16" i="10" s="1"/>
  <c r="J9" i="10"/>
  <c r="J16" i="10" s="1"/>
  <c r="F9" i="10"/>
  <c r="F23" i="10"/>
  <c r="F32" i="10" s="1"/>
  <c r="BC9" i="10"/>
  <c r="BC16" i="10" s="1"/>
  <c r="AU9" i="10"/>
  <c r="AU16" i="10" s="1"/>
  <c r="AE9" i="10"/>
  <c r="AE16" i="10" s="1"/>
  <c r="W9" i="10"/>
  <c r="W16" i="10" s="1"/>
  <c r="O9" i="10"/>
  <c r="O16" i="10" s="1"/>
  <c r="G9" i="10"/>
  <c r="G16" i="10" s="1"/>
  <c r="BG44" i="10"/>
  <c r="BG46" i="10" s="1"/>
  <c r="AA44" i="10"/>
  <c r="AA46" i="10" s="1"/>
  <c r="BC44" i="10"/>
  <c r="BC46" i="10" s="1"/>
  <c r="AY44" i="10"/>
  <c r="AY46" i="10" s="1"/>
  <c r="AU44" i="10"/>
  <c r="AU46" i="10" s="1"/>
  <c r="AQ44" i="10"/>
  <c r="AQ46" i="10" s="1"/>
  <c r="AM44" i="10"/>
  <c r="AM46" i="10" s="1"/>
  <c r="AI44" i="10"/>
  <c r="AI46" i="10" s="1"/>
  <c r="AE44" i="10"/>
  <c r="AE46" i="10" s="1"/>
  <c r="W44" i="10"/>
  <c r="W46" i="10" s="1"/>
  <c r="S44" i="10"/>
  <c r="S46" i="10" s="1"/>
  <c r="O44" i="10"/>
  <c r="O46" i="10" s="1"/>
  <c r="K44" i="10"/>
  <c r="K46" i="10" s="1"/>
  <c r="G37" i="10"/>
  <c r="G44" i="10" s="1"/>
  <c r="G46" i="10" s="1"/>
  <c r="BG9" i="10"/>
  <c r="BG16" i="10" s="1"/>
  <c r="AY9" i="10"/>
  <c r="AY16" i="10" s="1"/>
  <c r="AQ9" i="10"/>
  <c r="AQ16" i="10" s="1"/>
  <c r="AI9" i="10"/>
  <c r="AI16" i="10" s="1"/>
  <c r="AA9" i="10"/>
  <c r="AA16" i="10" s="1"/>
  <c r="S9" i="10"/>
  <c r="S16" i="10" s="1"/>
  <c r="K9" i="10"/>
  <c r="K16" i="10" s="1"/>
  <c r="BH9" i="10"/>
  <c r="BH16" i="10" s="1"/>
  <c r="BD9" i="10"/>
  <c r="AV9" i="10"/>
  <c r="AR9" i="10"/>
  <c r="AN9" i="10"/>
  <c r="AF9" i="10"/>
  <c r="AB9" i="10"/>
  <c r="AB16" i="10" s="1"/>
  <c r="X9" i="10"/>
  <c r="P9" i="10"/>
  <c r="L9" i="10"/>
  <c r="L16" i="10" s="1"/>
  <c r="H9" i="10"/>
  <c r="AP44" i="10"/>
  <c r="AP46" i="10" s="1"/>
  <c r="AL44" i="10"/>
  <c r="AL46" i="10" s="1"/>
  <c r="AH44" i="10"/>
  <c r="AH46" i="10" s="1"/>
  <c r="AD44" i="10"/>
  <c r="AD46" i="10" s="1"/>
  <c r="Z44" i="10"/>
  <c r="Z46" i="10" s="1"/>
  <c r="V44" i="10"/>
  <c r="V46" i="10" s="1"/>
  <c r="R44" i="10"/>
  <c r="R46" i="10" s="1"/>
  <c r="N44" i="10"/>
  <c r="N46" i="10" s="1"/>
  <c r="J44" i="10"/>
  <c r="J46" i="10" s="1"/>
  <c r="F37" i="10"/>
  <c r="F46" i="10" s="1"/>
  <c r="BI44" i="10"/>
  <c r="BI46" i="10" s="1"/>
  <c r="BE44" i="10"/>
  <c r="BE46" i="10" s="1"/>
  <c r="BA44" i="10"/>
  <c r="BA46" i="10" s="1"/>
  <c r="AW44" i="10"/>
  <c r="AW46" i="10" s="1"/>
  <c r="AS44" i="10"/>
  <c r="AS46" i="10" s="1"/>
  <c r="AO44" i="10"/>
  <c r="AO46" i="10" s="1"/>
  <c r="AK44" i="10"/>
  <c r="AK46" i="10" s="1"/>
  <c r="AG44" i="10"/>
  <c r="AG46" i="10" s="1"/>
  <c r="AC44" i="10"/>
  <c r="AC46" i="10" s="1"/>
  <c r="Y44" i="10"/>
  <c r="Y46" i="10" s="1"/>
  <c r="U44" i="10"/>
  <c r="U46" i="10" s="1"/>
  <c r="Q44" i="10"/>
  <c r="Q46" i="10" s="1"/>
  <c r="M44" i="10"/>
  <c r="M46" i="10" s="1"/>
  <c r="I44" i="10"/>
  <c r="I46" i="10" s="1"/>
  <c r="E44" i="10"/>
  <c r="E46" i="10" s="1"/>
  <c r="C44" i="10"/>
  <c r="BJ44" i="10"/>
  <c r="BJ46" i="10" s="1"/>
  <c r="BF44" i="10"/>
  <c r="BF46" i="10" s="1"/>
  <c r="BB44" i="10"/>
  <c r="BB46" i="10" s="1"/>
  <c r="AX44" i="10"/>
  <c r="AX46" i="10" s="1"/>
  <c r="AT44" i="10"/>
  <c r="AT46" i="10" s="1"/>
  <c r="D25" i="10"/>
  <c r="BI9" i="10"/>
  <c r="BE9" i="10"/>
  <c r="BA9" i="10"/>
  <c r="AW9" i="10"/>
  <c r="AS9" i="10"/>
  <c r="AO9" i="10"/>
  <c r="AK9" i="10"/>
  <c r="AG9" i="10"/>
  <c r="AC9" i="10"/>
  <c r="Y9" i="10"/>
  <c r="U9" i="10"/>
  <c r="Q9" i="10"/>
  <c r="M9" i="10"/>
  <c r="I9" i="10"/>
  <c r="E51" i="10"/>
  <c r="G23" i="10"/>
  <c r="G30" i="10" s="1"/>
  <c r="G32" i="10" s="1"/>
  <c r="D51" i="10"/>
  <c r="C16" i="10"/>
  <c r="G18" i="11" l="1"/>
  <c r="G26" i="8" s="1"/>
  <c r="F65" i="10"/>
  <c r="G9" i="8" s="1"/>
  <c r="AJ11" i="10"/>
  <c r="AJ14" i="10" s="1"/>
  <c r="T11" i="10"/>
  <c r="T14" i="10" s="1"/>
  <c r="AZ11" i="10"/>
  <c r="AZ14" i="10" s="1"/>
  <c r="G26" i="7"/>
  <c r="F32" i="8"/>
  <c r="C25" i="10"/>
  <c r="V11" i="10"/>
  <c r="V14" i="10" s="1"/>
  <c r="AL11" i="10"/>
  <c r="AL14" i="10" s="1"/>
  <c r="BC11" i="10"/>
  <c r="BC14" i="10" s="1"/>
  <c r="BD15" i="11"/>
  <c r="O15" i="11"/>
  <c r="L15" i="11"/>
  <c r="AA15" i="11"/>
  <c r="E32" i="8"/>
  <c r="I15" i="11"/>
  <c r="AT15" i="11"/>
  <c r="BG15" i="11"/>
  <c r="M15" i="11"/>
  <c r="AL15" i="11"/>
  <c r="G27" i="8"/>
  <c r="BH15" i="11"/>
  <c r="U15" i="11"/>
  <c r="Y15" i="11"/>
  <c r="BJ15" i="11"/>
  <c r="BA17" i="11"/>
  <c r="H18" i="11"/>
  <c r="I25" i="7" s="1"/>
  <c r="H26" i="8" s="1"/>
  <c r="H15" i="11"/>
  <c r="AG15" i="11"/>
  <c r="AK15" i="11"/>
  <c r="AB15" i="11"/>
  <c r="BF15" i="11"/>
  <c r="F27" i="8"/>
  <c r="BC17" i="11"/>
  <c r="AG17" i="11"/>
  <c r="T15" i="11"/>
  <c r="AS15" i="11"/>
  <c r="AJ17" i="11"/>
  <c r="AK17" i="11"/>
  <c r="AW15" i="11"/>
  <c r="AB17" i="11"/>
  <c r="AN15" i="11"/>
  <c r="N17" i="11"/>
  <c r="AX15" i="11"/>
  <c r="E27" i="8"/>
  <c r="H5" i="11"/>
  <c r="G14" i="11"/>
  <c r="H7" i="11"/>
  <c r="G16" i="11"/>
  <c r="G34" i="8" s="1"/>
  <c r="J9" i="11"/>
  <c r="I18" i="11"/>
  <c r="J25" i="7" s="1"/>
  <c r="I26" i="8" s="1"/>
  <c r="F10" i="5"/>
  <c r="F12" i="5" s="1"/>
  <c r="E11" i="13"/>
  <c r="H26" i="7"/>
  <c r="O11" i="10"/>
  <c r="O14" i="10" s="1"/>
  <c r="W11" i="10"/>
  <c r="W14" i="10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G24" i="6"/>
  <c r="D39" i="10"/>
  <c r="E25" i="10"/>
  <c r="F26" i="7"/>
  <c r="I23" i="5"/>
  <c r="E24" i="6"/>
  <c r="F24" i="6"/>
  <c r="H24" i="6"/>
  <c r="E26" i="7"/>
  <c r="D24" i="8"/>
  <c r="AB18" i="10"/>
  <c r="S18" i="10"/>
  <c r="AY18" i="10"/>
  <c r="G18" i="10"/>
  <c r="AU18" i="10"/>
  <c r="N18" i="10"/>
  <c r="AD18" i="10"/>
  <c r="AT18" i="10"/>
  <c r="BJ18" i="10"/>
  <c r="AD11" i="10"/>
  <c r="AD14" i="10" s="1"/>
  <c r="AM11" i="10"/>
  <c r="AM14" i="10" s="1"/>
  <c r="L18" i="10"/>
  <c r="AA18" i="10"/>
  <c r="BG18" i="10"/>
  <c r="O18" i="10"/>
  <c r="BC18" i="10"/>
  <c r="AM18" i="10"/>
  <c r="R18" i="10"/>
  <c r="AH18" i="10"/>
  <c r="AX18" i="10"/>
  <c r="E23" i="6"/>
  <c r="F23" i="6"/>
  <c r="G23" i="6"/>
  <c r="H23" i="6"/>
  <c r="BH18" i="10"/>
  <c r="AI18" i="10"/>
  <c r="W18" i="10"/>
  <c r="F18" i="10"/>
  <c r="V18" i="10"/>
  <c r="AL18" i="10"/>
  <c r="BB18" i="10"/>
  <c r="C18" i="10"/>
  <c r="C62" i="10"/>
  <c r="D10" i="11" s="1"/>
  <c r="E43" i="7" s="1"/>
  <c r="BH11" i="10"/>
  <c r="BH14" i="10" s="1"/>
  <c r="F11" i="10"/>
  <c r="F14" i="10" s="1"/>
  <c r="BB11" i="10"/>
  <c r="BB14" i="10" s="1"/>
  <c r="AI11" i="10"/>
  <c r="AI14" i="10" s="1"/>
  <c r="K18" i="10"/>
  <c r="AQ18" i="10"/>
  <c r="AE18" i="10"/>
  <c r="J18" i="10"/>
  <c r="Z18" i="10"/>
  <c r="AP18" i="10"/>
  <c r="BF18" i="10"/>
  <c r="D23" i="6"/>
  <c r="AB11" i="10"/>
  <c r="AB14" i="10" s="1"/>
  <c r="N11" i="10"/>
  <c r="N14" i="10" s="1"/>
  <c r="AT11" i="10"/>
  <c r="AT14" i="10" s="1"/>
  <c r="J11" i="10"/>
  <c r="J14" i="10" s="1"/>
  <c r="Z11" i="10"/>
  <c r="Z14" i="10" s="1"/>
  <c r="AP11" i="10"/>
  <c r="AP14" i="10" s="1"/>
  <c r="BF11" i="10"/>
  <c r="BF14" i="10" s="1"/>
  <c r="K11" i="10"/>
  <c r="K14" i="10" s="1"/>
  <c r="AQ11" i="10"/>
  <c r="AQ14" i="10" s="1"/>
  <c r="F51" i="10"/>
  <c r="F57" i="10"/>
  <c r="AE11" i="10"/>
  <c r="AE14" i="10" s="1"/>
  <c r="AY11" i="10"/>
  <c r="AY14" i="10" s="1"/>
  <c r="F25" i="10"/>
  <c r="S11" i="10"/>
  <c r="S14" i="10" s="1"/>
  <c r="R11" i="10"/>
  <c r="R14" i="10" s="1"/>
  <c r="AH11" i="10"/>
  <c r="AH14" i="10" s="1"/>
  <c r="AX11" i="10"/>
  <c r="AX14" i="10" s="1"/>
  <c r="AA11" i="10"/>
  <c r="AA14" i="10" s="1"/>
  <c r="BG11" i="10"/>
  <c r="BG14" i="10" s="1"/>
  <c r="BJ11" i="10"/>
  <c r="BJ14" i="10" s="1"/>
  <c r="E39" i="10"/>
  <c r="C39" i="10"/>
  <c r="C46" i="10"/>
  <c r="F39" i="10"/>
  <c r="G39" i="10"/>
  <c r="AU11" i="10"/>
  <c r="AU14" i="10" s="1"/>
  <c r="G25" i="10"/>
  <c r="L11" i="10"/>
  <c r="L14" i="10" s="1"/>
  <c r="G11" i="10"/>
  <c r="G14" i="10" s="1"/>
  <c r="AW11" i="10"/>
  <c r="AW14" i="10" s="1"/>
  <c r="AW16" i="10"/>
  <c r="D11" i="10"/>
  <c r="D16" i="10"/>
  <c r="I11" i="10"/>
  <c r="I14" i="10" s="1"/>
  <c r="I16" i="10"/>
  <c r="Y11" i="10"/>
  <c r="Y14" i="10" s="1"/>
  <c r="Y16" i="10"/>
  <c r="AO11" i="10"/>
  <c r="AO14" i="10" s="1"/>
  <c r="AO16" i="10"/>
  <c r="BE11" i="10"/>
  <c r="BE14" i="10" s="1"/>
  <c r="BE16" i="10"/>
  <c r="AF11" i="10"/>
  <c r="AF14" i="10" s="1"/>
  <c r="AF16" i="10"/>
  <c r="BD11" i="10"/>
  <c r="BD14" i="10" s="1"/>
  <c r="BD16" i="10"/>
  <c r="AG11" i="10"/>
  <c r="AG14" i="10" s="1"/>
  <c r="AG16" i="10"/>
  <c r="X11" i="10"/>
  <c r="X14" i="10" s="1"/>
  <c r="X16" i="10"/>
  <c r="AR11" i="10"/>
  <c r="AR14" i="10" s="1"/>
  <c r="AR16" i="10"/>
  <c r="M11" i="10"/>
  <c r="M14" i="10" s="1"/>
  <c r="M16" i="10"/>
  <c r="AC11" i="10"/>
  <c r="AC14" i="10" s="1"/>
  <c r="AC16" i="10"/>
  <c r="AS11" i="10"/>
  <c r="AS14" i="10" s="1"/>
  <c r="AS16" i="10"/>
  <c r="BI11" i="10"/>
  <c r="BI14" i="10" s="1"/>
  <c r="BI16" i="10"/>
  <c r="P11" i="10"/>
  <c r="P14" i="10" s="1"/>
  <c r="P16" i="10"/>
  <c r="AN11" i="10"/>
  <c r="AN14" i="10" s="1"/>
  <c r="AN16" i="10"/>
  <c r="Q11" i="10"/>
  <c r="Q14" i="10" s="1"/>
  <c r="Q16" i="10"/>
  <c r="E11" i="10"/>
  <c r="E16" i="10"/>
  <c r="U11" i="10"/>
  <c r="U14" i="10" s="1"/>
  <c r="U16" i="10"/>
  <c r="AK11" i="10"/>
  <c r="AK14" i="10" s="1"/>
  <c r="AK16" i="10"/>
  <c r="BA11" i="10"/>
  <c r="BA14" i="10" s="1"/>
  <c r="BA16" i="10"/>
  <c r="H11" i="10"/>
  <c r="H14" i="10" s="1"/>
  <c r="H16" i="10"/>
  <c r="AV11" i="10"/>
  <c r="AV14" i="10" s="1"/>
  <c r="AV16" i="10"/>
  <c r="C11" i="10"/>
  <c r="G49" i="10"/>
  <c r="G65" i="10" s="1"/>
  <c r="H9" i="8" s="1"/>
  <c r="H27" i="8" l="1"/>
  <c r="F42" i="10"/>
  <c r="C60" i="10"/>
  <c r="C10" i="9" s="1"/>
  <c r="D16" i="8" s="1"/>
  <c r="I26" i="7"/>
  <c r="G32" i="8"/>
  <c r="I7" i="11"/>
  <c r="H16" i="11"/>
  <c r="I33" i="7" s="1"/>
  <c r="H34" i="8" s="1"/>
  <c r="K9" i="11"/>
  <c r="J18" i="11"/>
  <c r="K25" i="7" s="1"/>
  <c r="I5" i="11"/>
  <c r="H14" i="11"/>
  <c r="I36" i="7"/>
  <c r="H37" i="8" s="1"/>
  <c r="I27" i="8"/>
  <c r="J26" i="7"/>
  <c r="G10" i="5"/>
  <c r="G12" i="5" s="1"/>
  <c r="G11" i="13"/>
  <c r="F11" i="13"/>
  <c r="D60" i="10"/>
  <c r="J23" i="5"/>
  <c r="D27" i="8"/>
  <c r="C63" i="10"/>
  <c r="F62" i="10"/>
  <c r="G10" i="11" s="1"/>
  <c r="F60" i="10"/>
  <c r="F52" i="10" s="1"/>
  <c r="F53" i="10" s="1"/>
  <c r="D24" i="6"/>
  <c r="E60" i="10"/>
  <c r="BA18" i="10"/>
  <c r="Q18" i="10"/>
  <c r="AS18" i="10"/>
  <c r="X18" i="10"/>
  <c r="BD18" i="10"/>
  <c r="Y18" i="10"/>
  <c r="D18" i="10"/>
  <c r="D63" i="10" s="1"/>
  <c r="D62" i="10"/>
  <c r="E10" i="11" s="1"/>
  <c r="H18" i="10"/>
  <c r="AK18" i="10"/>
  <c r="E18" i="10"/>
  <c r="E63" i="10" s="1"/>
  <c r="E62" i="10"/>
  <c r="F10" i="11" s="1"/>
  <c r="AN18" i="10"/>
  <c r="BI18" i="10"/>
  <c r="AC18" i="10"/>
  <c r="AR18" i="10"/>
  <c r="AG18" i="10"/>
  <c r="AF18" i="10"/>
  <c r="AO18" i="10"/>
  <c r="I18" i="10"/>
  <c r="AW18" i="10"/>
  <c r="AV18" i="10"/>
  <c r="U18" i="10"/>
  <c r="P18" i="10"/>
  <c r="M18" i="10"/>
  <c r="BE18" i="10"/>
  <c r="F63" i="10"/>
  <c r="G51" i="10"/>
  <c r="G60" i="10" s="1"/>
  <c r="G40" i="10" s="1"/>
  <c r="G41" i="10" s="1"/>
  <c r="G55" i="10"/>
  <c r="H49" i="10"/>
  <c r="H65" i="10" s="1"/>
  <c r="I9" i="8" s="1"/>
  <c r="G52" i="10" l="1"/>
  <c r="G53" i="10" s="1"/>
  <c r="F26" i="10"/>
  <c r="F27" i="10" s="1"/>
  <c r="F28" i="10" s="1"/>
  <c r="F40" i="10"/>
  <c r="F41" i="10" s="1"/>
  <c r="G7" i="9"/>
  <c r="G26" i="10"/>
  <c r="G27" i="10" s="1"/>
  <c r="G28" i="10" s="1"/>
  <c r="G42" i="10"/>
  <c r="C13" i="9"/>
  <c r="D14" i="8" s="1"/>
  <c r="D10" i="9"/>
  <c r="E16" i="8" s="1"/>
  <c r="I31" i="7"/>
  <c r="H32" i="8" s="1"/>
  <c r="J5" i="11"/>
  <c r="I14" i="11"/>
  <c r="J36" i="7"/>
  <c r="I37" i="8" s="1"/>
  <c r="L9" i="11"/>
  <c r="K18" i="11"/>
  <c r="L25" i="7" s="1"/>
  <c r="J26" i="8"/>
  <c r="K26" i="7"/>
  <c r="J7" i="11"/>
  <c r="I16" i="11"/>
  <c r="J33" i="7" s="1"/>
  <c r="I34" i="8" s="1"/>
  <c r="H10" i="5"/>
  <c r="H12" i="5" s="1"/>
  <c r="D8" i="8"/>
  <c r="D15" i="8" s="1"/>
  <c r="K23" i="5"/>
  <c r="G57" i="10"/>
  <c r="G63" i="10" s="1"/>
  <c r="I7" i="7" s="1"/>
  <c r="H8" i="8" s="1"/>
  <c r="H15" i="8" s="1"/>
  <c r="G62" i="10"/>
  <c r="E8" i="8"/>
  <c r="E15" i="8" s="1"/>
  <c r="G8" i="8"/>
  <c r="G15" i="8" s="1"/>
  <c r="F8" i="8"/>
  <c r="F15" i="8" s="1"/>
  <c r="H51" i="10"/>
  <c r="H60" i="10" s="1"/>
  <c r="H7" i="9" s="1"/>
  <c r="H55" i="10"/>
  <c r="I49" i="10"/>
  <c r="I65" i="10" s="1"/>
  <c r="J9" i="8" s="1"/>
  <c r="H40" i="10" l="1"/>
  <c r="H41" i="10" s="1"/>
  <c r="H52" i="10"/>
  <c r="H53" i="10" s="1"/>
  <c r="H26" i="10"/>
  <c r="H27" i="10" s="1"/>
  <c r="H28" i="10" s="1"/>
  <c r="D7" i="8"/>
  <c r="F43" i="7"/>
  <c r="D13" i="9"/>
  <c r="D19" i="11"/>
  <c r="D11" i="11"/>
  <c r="J31" i="7"/>
  <c r="I32" i="8" s="1"/>
  <c r="K26" i="8"/>
  <c r="L26" i="7"/>
  <c r="J27" i="8"/>
  <c r="M9" i="11"/>
  <c r="L18" i="11"/>
  <c r="M25" i="7" s="1"/>
  <c r="K7" i="11"/>
  <c r="J16" i="11"/>
  <c r="K33" i="7" s="1"/>
  <c r="J34" i="8" s="1"/>
  <c r="K5" i="11"/>
  <c r="J14" i="11"/>
  <c r="K36" i="7"/>
  <c r="J37" i="8" s="1"/>
  <c r="I10" i="5"/>
  <c r="I12" i="5" s="1"/>
  <c r="L23" i="5"/>
  <c r="H57" i="10"/>
  <c r="H63" i="10" s="1"/>
  <c r="J7" i="7" s="1"/>
  <c r="I8" i="8" s="1"/>
  <c r="I15" i="8" s="1"/>
  <c r="H62" i="10"/>
  <c r="I13" i="7"/>
  <c r="D49" i="8"/>
  <c r="I51" i="10"/>
  <c r="I60" i="10" s="1"/>
  <c r="I7" i="9" s="1"/>
  <c r="I55" i="10"/>
  <c r="E9" i="7"/>
  <c r="J49" i="10"/>
  <c r="J65" i="10" s="1"/>
  <c r="K9" i="8" s="1"/>
  <c r="I40" i="10" l="1"/>
  <c r="I41" i="10" s="1"/>
  <c r="H42" i="10"/>
  <c r="I52" i="10"/>
  <c r="I53" i="10" s="1"/>
  <c r="K27" i="8"/>
  <c r="I26" i="10"/>
  <c r="I27" i="10" s="1"/>
  <c r="I28" i="10" s="1"/>
  <c r="E10" i="9"/>
  <c r="F16" i="8" s="1"/>
  <c r="E19" i="11"/>
  <c r="E17" i="8" s="1"/>
  <c r="E11" i="11"/>
  <c r="E7" i="8"/>
  <c r="D20" i="11"/>
  <c r="D17" i="8"/>
  <c r="E16" i="7"/>
  <c r="E18" i="7" s="1"/>
  <c r="K31" i="7"/>
  <c r="J32" i="8" s="1"/>
  <c r="L5" i="11"/>
  <c r="L36" i="7"/>
  <c r="K37" i="8" s="1"/>
  <c r="K14" i="11"/>
  <c r="L7" i="11"/>
  <c r="K16" i="11"/>
  <c r="L33" i="7" s="1"/>
  <c r="K34" i="8" s="1"/>
  <c r="N9" i="11"/>
  <c r="M18" i="11"/>
  <c r="N25" i="7" s="1"/>
  <c r="L26" i="8"/>
  <c r="M26" i="7"/>
  <c r="J10" i="5"/>
  <c r="J12" i="5" s="1"/>
  <c r="M23" i="5"/>
  <c r="J13" i="7"/>
  <c r="I57" i="10"/>
  <c r="I63" i="10" s="1"/>
  <c r="K7" i="7" s="1"/>
  <c r="J8" i="8" s="1"/>
  <c r="I62" i="10"/>
  <c r="E14" i="8"/>
  <c r="F9" i="7"/>
  <c r="E49" i="8"/>
  <c r="E39" i="7"/>
  <c r="J51" i="10"/>
  <c r="J60" i="10" s="1"/>
  <c r="J7" i="9" s="1"/>
  <c r="J55" i="10"/>
  <c r="K49" i="10"/>
  <c r="K65" i="10" s="1"/>
  <c r="L9" i="8" s="1"/>
  <c r="I42" i="10" l="1"/>
  <c r="J40" i="10"/>
  <c r="J41" i="10" s="1"/>
  <c r="J52" i="10"/>
  <c r="J53" i="10" s="1"/>
  <c r="J26" i="10"/>
  <c r="J27" i="10" s="1"/>
  <c r="J28" i="10" s="1"/>
  <c r="F11" i="11"/>
  <c r="E13" i="9"/>
  <c r="F7" i="8" s="1"/>
  <c r="E20" i="11"/>
  <c r="L31" i="7"/>
  <c r="K32" i="8" s="1"/>
  <c r="L27" i="8"/>
  <c r="M7" i="11"/>
  <c r="L16" i="11"/>
  <c r="M33" i="7" s="1"/>
  <c r="L34" i="8" s="1"/>
  <c r="M26" i="8"/>
  <c r="N26" i="7"/>
  <c r="O9" i="11"/>
  <c r="P9" i="11" s="1"/>
  <c r="P18" i="11" s="1"/>
  <c r="Q25" i="7" s="1"/>
  <c r="N18" i="11"/>
  <c r="O25" i="7" s="1"/>
  <c r="M5" i="11"/>
  <c r="M36" i="7"/>
  <c r="L37" i="8" s="1"/>
  <c r="L14" i="11"/>
  <c r="K10" i="5"/>
  <c r="K12" i="5" s="1"/>
  <c r="N23" i="5"/>
  <c r="C23" i="13" s="1"/>
  <c r="K13" i="7"/>
  <c r="J57" i="10"/>
  <c r="J63" i="10" s="1"/>
  <c r="L7" i="7" s="1"/>
  <c r="L13" i="7" s="1"/>
  <c r="J62" i="10"/>
  <c r="F16" i="7"/>
  <c r="F18" i="7" s="1"/>
  <c r="J15" i="8"/>
  <c r="F39" i="7"/>
  <c r="D40" i="8"/>
  <c r="K51" i="10"/>
  <c r="K60" i="10" s="1"/>
  <c r="K7" i="9" s="1"/>
  <c r="K55" i="10"/>
  <c r="L49" i="10"/>
  <c r="L65" i="10" s="1"/>
  <c r="M9" i="8" s="1"/>
  <c r="E28" i="7"/>
  <c r="E41" i="7" s="1"/>
  <c r="J42" i="10" l="1"/>
  <c r="K40" i="10"/>
  <c r="K41" i="10" s="1"/>
  <c r="K52" i="10"/>
  <c r="K53" i="10" s="1"/>
  <c r="M27" i="8"/>
  <c r="P26" i="8"/>
  <c r="Q26" i="7"/>
  <c r="K26" i="10"/>
  <c r="K27" i="10" s="1"/>
  <c r="K28" i="10" s="1"/>
  <c r="G43" i="7"/>
  <c r="F49" i="8" s="1"/>
  <c r="F10" i="9"/>
  <c r="F19" i="11"/>
  <c r="F17" i="8" s="1"/>
  <c r="G9" i="7"/>
  <c r="M31" i="7"/>
  <c r="L32" i="8" s="1"/>
  <c r="N26" i="8"/>
  <c r="O26" i="7"/>
  <c r="Q9" i="11"/>
  <c r="O18" i="11"/>
  <c r="P25" i="7" s="1"/>
  <c r="N5" i="11"/>
  <c r="N36" i="7"/>
  <c r="M37" i="8" s="1"/>
  <c r="M14" i="11"/>
  <c r="N7" i="11"/>
  <c r="M16" i="11"/>
  <c r="N33" i="7" s="1"/>
  <c r="M34" i="8" s="1"/>
  <c r="L10" i="5"/>
  <c r="L12" i="5" s="1"/>
  <c r="K8" i="8"/>
  <c r="K15" i="8" s="1"/>
  <c r="O23" i="5"/>
  <c r="E40" i="8"/>
  <c r="K57" i="10"/>
  <c r="K63" i="10" s="1"/>
  <c r="M7" i="7" s="1"/>
  <c r="M13" i="7" s="1"/>
  <c r="K62" i="10"/>
  <c r="F28" i="7"/>
  <c r="F41" i="7" s="1"/>
  <c r="L51" i="10"/>
  <c r="L60" i="10" s="1"/>
  <c r="L7" i="9" s="1"/>
  <c r="L55" i="10"/>
  <c r="M49" i="10"/>
  <c r="K42" i="10" l="1"/>
  <c r="L40" i="10"/>
  <c r="L41" i="10" s="1"/>
  <c r="L52" i="10"/>
  <c r="L53" i="10" s="1"/>
  <c r="P27" i="8"/>
  <c r="N27" i="8"/>
  <c r="L26" i="10"/>
  <c r="L27" i="10" s="1"/>
  <c r="L28" i="10" s="1"/>
  <c r="N49" i="10"/>
  <c r="N65" i="10" s="1"/>
  <c r="O9" i="8" s="1"/>
  <c r="M65" i="10"/>
  <c r="N9" i="8" s="1"/>
  <c r="G6" i="9"/>
  <c r="G9" i="9" s="1"/>
  <c r="G39" i="7"/>
  <c r="G16" i="8"/>
  <c r="F13" i="9"/>
  <c r="G7" i="8" s="1"/>
  <c r="F14" i="8"/>
  <c r="F20" i="11"/>
  <c r="H43" i="7"/>
  <c r="G11" i="11"/>
  <c r="N31" i="7"/>
  <c r="M32" i="8" s="1"/>
  <c r="O7" i="11"/>
  <c r="N16" i="11"/>
  <c r="O33" i="7" s="1"/>
  <c r="N34" i="8" s="1"/>
  <c r="O26" i="8"/>
  <c r="P26" i="7"/>
  <c r="O5" i="11"/>
  <c r="O36" i="7"/>
  <c r="N37" i="8" s="1"/>
  <c r="N14" i="11"/>
  <c r="R9" i="11"/>
  <c r="Q18" i="11"/>
  <c r="R25" i="7" s="1"/>
  <c r="M10" i="5"/>
  <c r="M12" i="5" s="1"/>
  <c r="L8" i="8"/>
  <c r="L15" i="8" s="1"/>
  <c r="P23" i="5"/>
  <c r="L57" i="10"/>
  <c r="L63" i="10" s="1"/>
  <c r="N7" i="7" s="1"/>
  <c r="N13" i="7" s="1"/>
  <c r="L62" i="10"/>
  <c r="G19" i="11"/>
  <c r="M51" i="10"/>
  <c r="M60" i="10" s="1"/>
  <c r="M7" i="9" s="1"/>
  <c r="M55" i="10"/>
  <c r="G10" i="9" l="1"/>
  <c r="H6" i="9" s="1"/>
  <c r="L42" i="10"/>
  <c r="M40" i="10"/>
  <c r="M41" i="10" s="1"/>
  <c r="M52" i="10"/>
  <c r="M53" i="10" s="1"/>
  <c r="D9" i="6"/>
  <c r="M26" i="10"/>
  <c r="M27" i="10" s="1"/>
  <c r="M28" i="10" s="1"/>
  <c r="N55" i="10"/>
  <c r="N62" i="10" s="1"/>
  <c r="O49" i="10"/>
  <c r="O65" i="10" s="1"/>
  <c r="P9" i="8" s="1"/>
  <c r="N51" i="10"/>
  <c r="N60" i="10" s="1"/>
  <c r="N7" i="9" s="1"/>
  <c r="F40" i="8"/>
  <c r="H9" i="7"/>
  <c r="G16" i="7"/>
  <c r="G18" i="7" s="1"/>
  <c r="G28" i="7" s="1"/>
  <c r="G41" i="7" s="1"/>
  <c r="O31" i="7"/>
  <c r="N32" i="8" s="1"/>
  <c r="G17" i="8"/>
  <c r="G20" i="11"/>
  <c r="S9" i="11"/>
  <c r="R18" i="11"/>
  <c r="S25" i="7" s="1"/>
  <c r="Q26" i="8"/>
  <c r="R26" i="7"/>
  <c r="P5" i="11"/>
  <c r="P36" i="7"/>
  <c r="O37" i="8" s="1"/>
  <c r="D37" i="6" s="1"/>
  <c r="O14" i="11"/>
  <c r="O27" i="8"/>
  <c r="D27" i="6" s="1"/>
  <c r="D26" i="6"/>
  <c r="P7" i="11"/>
  <c r="O16" i="11"/>
  <c r="P33" i="7" s="1"/>
  <c r="O34" i="8" s="1"/>
  <c r="D34" i="6" s="1"/>
  <c r="N10" i="5"/>
  <c r="N12" i="5" s="1"/>
  <c r="M8" i="8"/>
  <c r="M15" i="8" s="1"/>
  <c r="Q23" i="5"/>
  <c r="M57" i="10"/>
  <c r="M63" i="10" s="1"/>
  <c r="O7" i="7" s="1"/>
  <c r="N8" i="8" s="1"/>
  <c r="N15" i="8" s="1"/>
  <c r="M62" i="10"/>
  <c r="G49" i="8"/>
  <c r="H9" i="9" l="1"/>
  <c r="H10" i="9" s="1"/>
  <c r="G13" i="9"/>
  <c r="M42" i="10"/>
  <c r="H10" i="11"/>
  <c r="I43" i="7" s="1"/>
  <c r="I14" i="7"/>
  <c r="H16" i="8" s="1"/>
  <c r="N40" i="10"/>
  <c r="N41" i="10" s="1"/>
  <c r="N52" i="10"/>
  <c r="N53" i="10" s="1"/>
  <c r="N57" i="10"/>
  <c r="N63" i="10" s="1"/>
  <c r="P7" i="7" s="1"/>
  <c r="O8" i="8" s="1"/>
  <c r="O15" i="8" s="1"/>
  <c r="D15" i="6" s="1"/>
  <c r="R23" i="5"/>
  <c r="S23" i="5" s="1"/>
  <c r="T23" i="5" s="1"/>
  <c r="U23" i="5" s="1"/>
  <c r="V23" i="5" s="1"/>
  <c r="W23" i="5" s="1"/>
  <c r="X23" i="5" s="1"/>
  <c r="Y23" i="5" s="1"/>
  <c r="N26" i="10"/>
  <c r="N27" i="10" s="1"/>
  <c r="N28" i="10" s="1"/>
  <c r="O55" i="10"/>
  <c r="O57" i="10" s="1"/>
  <c r="O63" i="10" s="1"/>
  <c r="Q7" i="7" s="1"/>
  <c r="P8" i="8" s="1"/>
  <c r="P49" i="10"/>
  <c r="P65" i="10" s="1"/>
  <c r="Q9" i="8" s="1"/>
  <c r="O51" i="10"/>
  <c r="O60" i="10" s="1"/>
  <c r="O7" i="9" s="1"/>
  <c r="G14" i="8"/>
  <c r="P31" i="7"/>
  <c r="O32" i="8" s="1"/>
  <c r="D32" i="6" s="1"/>
  <c r="Q5" i="11"/>
  <c r="P14" i="11"/>
  <c r="Q36" i="7"/>
  <c r="P37" i="8" s="1"/>
  <c r="Q7" i="11"/>
  <c r="P16" i="11"/>
  <c r="Q33" i="7" s="1"/>
  <c r="P34" i="8" s="1"/>
  <c r="Q27" i="8"/>
  <c r="R26" i="8"/>
  <c r="S26" i="7"/>
  <c r="T9" i="11"/>
  <c r="S18" i="11"/>
  <c r="T25" i="7" s="1"/>
  <c r="O10" i="5"/>
  <c r="O12" i="5" s="1"/>
  <c r="C10" i="13"/>
  <c r="O13" i="7"/>
  <c r="H7" i="8"/>
  <c r="I6" i="7"/>
  <c r="H39" i="7"/>
  <c r="I6" i="9" l="1"/>
  <c r="H13" i="9"/>
  <c r="H11" i="11"/>
  <c r="H19" i="11"/>
  <c r="I15" i="7" s="1"/>
  <c r="H17" i="8" s="1"/>
  <c r="I10" i="11"/>
  <c r="N42" i="10"/>
  <c r="O40" i="10"/>
  <c r="O41" i="10" s="1"/>
  <c r="O52" i="10"/>
  <c r="O53" i="10" s="1"/>
  <c r="R27" i="8"/>
  <c r="D8" i="6"/>
  <c r="P13" i="7"/>
  <c r="O62" i="10"/>
  <c r="Q49" i="10"/>
  <c r="Q65" i="10" s="1"/>
  <c r="R9" i="8" s="1"/>
  <c r="D16" i="16"/>
  <c r="O26" i="10"/>
  <c r="P55" i="10"/>
  <c r="P57" i="10" s="1"/>
  <c r="P63" i="10" s="1"/>
  <c r="R7" i="7" s="1"/>
  <c r="Q8" i="8" s="1"/>
  <c r="Q15" i="8" s="1"/>
  <c r="P51" i="10"/>
  <c r="P60" i="10" s="1"/>
  <c r="P7" i="9" s="1"/>
  <c r="H16" i="7"/>
  <c r="H18" i="7" s="1"/>
  <c r="H19" i="7" s="1"/>
  <c r="Q31" i="7"/>
  <c r="P32" i="8" s="1"/>
  <c r="S26" i="8"/>
  <c r="T26" i="7"/>
  <c r="U9" i="11"/>
  <c r="T18" i="11"/>
  <c r="U25" i="7" s="1"/>
  <c r="R7" i="11"/>
  <c r="Q16" i="11"/>
  <c r="R33" i="7" s="1"/>
  <c r="Q34" i="8" s="1"/>
  <c r="R5" i="11"/>
  <c r="Q14" i="11"/>
  <c r="R36" i="7"/>
  <c r="Q37" i="8" s="1"/>
  <c r="P10" i="5"/>
  <c r="P12" i="5" s="1"/>
  <c r="Q13" i="7"/>
  <c r="P15" i="8"/>
  <c r="J14" i="7"/>
  <c r="I16" i="8" s="1"/>
  <c r="I12" i="7"/>
  <c r="I9" i="7"/>
  <c r="I34" i="7"/>
  <c r="H49" i="8"/>
  <c r="G40" i="8"/>
  <c r="I9" i="9" l="1"/>
  <c r="I10" i="9" s="1"/>
  <c r="J10" i="11" s="1"/>
  <c r="H20" i="11"/>
  <c r="O42" i="10"/>
  <c r="E16" i="16" s="1"/>
  <c r="P40" i="10"/>
  <c r="P41" i="10" s="1"/>
  <c r="P52" i="10"/>
  <c r="P53" i="10" s="1"/>
  <c r="S27" i="8"/>
  <c r="R49" i="10"/>
  <c r="R65" i="10" s="1"/>
  <c r="S9" i="8" s="1"/>
  <c r="Q55" i="10"/>
  <c r="Q62" i="10" s="1"/>
  <c r="O27" i="10"/>
  <c r="O28" i="10" s="1"/>
  <c r="C16" i="16" s="1"/>
  <c r="Q51" i="10"/>
  <c r="Q60" i="10" s="1"/>
  <c r="Q7" i="9" s="1"/>
  <c r="P62" i="10"/>
  <c r="P26" i="10"/>
  <c r="P27" i="10" s="1"/>
  <c r="P28" i="10" s="1"/>
  <c r="H28" i="7"/>
  <c r="H41" i="7" s="1"/>
  <c r="J43" i="7"/>
  <c r="I11" i="11"/>
  <c r="R31" i="7"/>
  <c r="Q32" i="8" s="1"/>
  <c r="S5" i="11"/>
  <c r="R14" i="11"/>
  <c r="S36" i="7"/>
  <c r="R37" i="8" s="1"/>
  <c r="T26" i="8"/>
  <c r="U26" i="7"/>
  <c r="S7" i="11"/>
  <c r="R16" i="11"/>
  <c r="S33" i="7" s="1"/>
  <c r="R34" i="8" s="1"/>
  <c r="V9" i="11"/>
  <c r="U18" i="11"/>
  <c r="V25" i="7" s="1"/>
  <c r="Q10" i="5"/>
  <c r="Q12" i="5" s="1"/>
  <c r="R13" i="7"/>
  <c r="I7" i="8"/>
  <c r="J6" i="7"/>
  <c r="H35" i="8"/>
  <c r="I39" i="7"/>
  <c r="H14" i="8"/>
  <c r="I16" i="7"/>
  <c r="I18" i="7" s="1"/>
  <c r="I19" i="11"/>
  <c r="R51" i="10"/>
  <c r="R60" i="10" s="1"/>
  <c r="R7" i="9" s="1"/>
  <c r="J6" i="9" l="1"/>
  <c r="J9" i="9" s="1"/>
  <c r="J10" i="9" s="1"/>
  <c r="I13" i="9"/>
  <c r="P42" i="10"/>
  <c r="R40" i="10"/>
  <c r="R41" i="10" s="1"/>
  <c r="Q40" i="10"/>
  <c r="Q41" i="10" s="1"/>
  <c r="Q52" i="10"/>
  <c r="Q53" i="10" s="1"/>
  <c r="R52" i="10"/>
  <c r="R53" i="10" s="1"/>
  <c r="R55" i="10"/>
  <c r="S49" i="10"/>
  <c r="S65" i="10" s="1"/>
  <c r="T9" i="8" s="1"/>
  <c r="Q57" i="10"/>
  <c r="Q63" i="10" s="1"/>
  <c r="S7" i="7" s="1"/>
  <c r="S13" i="7" s="1"/>
  <c r="Q26" i="10"/>
  <c r="Q27" i="10" s="1"/>
  <c r="Q28" i="10" s="1"/>
  <c r="R26" i="10"/>
  <c r="R27" i="10" s="1"/>
  <c r="R28" i="10" s="1"/>
  <c r="S31" i="7"/>
  <c r="R32" i="8" s="1"/>
  <c r="J15" i="7"/>
  <c r="I17" i="8" s="1"/>
  <c r="I20" i="11"/>
  <c r="T7" i="11"/>
  <c r="S16" i="11"/>
  <c r="T33" i="7" s="1"/>
  <c r="S34" i="8" s="1"/>
  <c r="U26" i="8"/>
  <c r="V26" i="7"/>
  <c r="W9" i="11"/>
  <c r="V18" i="11"/>
  <c r="W25" i="7" s="1"/>
  <c r="T27" i="8"/>
  <c r="T5" i="11"/>
  <c r="S14" i="11"/>
  <c r="T36" i="7"/>
  <c r="S37" i="8" s="1"/>
  <c r="R10" i="5"/>
  <c r="R12" i="5" s="1"/>
  <c r="R57" i="10"/>
  <c r="R63" i="10" s="1"/>
  <c r="T7" i="7" s="1"/>
  <c r="S8" i="8" s="1"/>
  <c r="R62" i="10"/>
  <c r="I19" i="7"/>
  <c r="I28" i="7"/>
  <c r="I41" i="7" s="1"/>
  <c r="K14" i="7"/>
  <c r="J16" i="8" s="1"/>
  <c r="J12" i="7"/>
  <c r="I14" i="8" s="1"/>
  <c r="J9" i="7"/>
  <c r="I49" i="8"/>
  <c r="J34" i="7"/>
  <c r="H40" i="8"/>
  <c r="K6" i="9" l="1"/>
  <c r="K9" i="9" s="1"/>
  <c r="K10" i="9" s="1"/>
  <c r="J13" i="9"/>
  <c r="R42" i="10"/>
  <c r="Q42" i="10"/>
  <c r="R8" i="8"/>
  <c r="R15" i="8" s="1"/>
  <c r="U27" i="8"/>
  <c r="S55" i="10"/>
  <c r="S57" i="10" s="1"/>
  <c r="S63" i="10" s="1"/>
  <c r="U7" i="7" s="1"/>
  <c r="T8" i="8" s="1"/>
  <c r="T15" i="8" s="1"/>
  <c r="T49" i="10"/>
  <c r="T65" i="10" s="1"/>
  <c r="U9" i="8" s="1"/>
  <c r="S51" i="10"/>
  <c r="S60" i="10" s="1"/>
  <c r="S7" i="9" s="1"/>
  <c r="T31" i="7"/>
  <c r="S32" i="8" s="1"/>
  <c r="K43" i="7"/>
  <c r="J11" i="11"/>
  <c r="U5" i="11"/>
  <c r="T14" i="11"/>
  <c r="U36" i="7"/>
  <c r="T37" i="8" s="1"/>
  <c r="V26" i="8"/>
  <c r="W26" i="7"/>
  <c r="X9" i="11"/>
  <c r="W18" i="11"/>
  <c r="X25" i="7" s="1"/>
  <c r="U7" i="11"/>
  <c r="T16" i="11"/>
  <c r="U33" i="7" s="1"/>
  <c r="T34" i="8" s="1"/>
  <c r="S10" i="5"/>
  <c r="S12" i="5" s="1"/>
  <c r="T13" i="7"/>
  <c r="J16" i="7"/>
  <c r="J18" i="7" s="1"/>
  <c r="I35" i="8"/>
  <c r="J39" i="7"/>
  <c r="J19" i="11"/>
  <c r="J7" i="8"/>
  <c r="K6" i="7"/>
  <c r="S15" i="8"/>
  <c r="T51" i="10"/>
  <c r="T60" i="10" s="1"/>
  <c r="T7" i="9" s="1"/>
  <c r="T55" i="10"/>
  <c r="K10" i="11"/>
  <c r="L6" i="9" l="1"/>
  <c r="L9" i="9" s="1"/>
  <c r="L10" i="9" s="1"/>
  <c r="K13" i="9"/>
  <c r="T40" i="10"/>
  <c r="T41" i="10" s="1"/>
  <c r="S40" i="10"/>
  <c r="S41" i="10" s="1"/>
  <c r="S52" i="10"/>
  <c r="S53" i="10" s="1"/>
  <c r="T52" i="10"/>
  <c r="T53" i="10" s="1"/>
  <c r="U49" i="10"/>
  <c r="U65" i="10" s="1"/>
  <c r="V9" i="8" s="1"/>
  <c r="S62" i="10"/>
  <c r="S26" i="10"/>
  <c r="S27" i="10" s="1"/>
  <c r="S28" i="10" s="1"/>
  <c r="T26" i="10"/>
  <c r="T27" i="10" s="1"/>
  <c r="T28" i="10" s="1"/>
  <c r="K15" i="7"/>
  <c r="J17" i="8" s="1"/>
  <c r="J20" i="11"/>
  <c r="U31" i="7"/>
  <c r="T32" i="8" s="1"/>
  <c r="W26" i="8"/>
  <c r="X26" i="7"/>
  <c r="V7" i="11"/>
  <c r="U16" i="11"/>
  <c r="V33" i="7" s="1"/>
  <c r="U34" i="8" s="1"/>
  <c r="Y9" i="11"/>
  <c r="X18" i="11"/>
  <c r="Y25" i="7" s="1"/>
  <c r="V27" i="8"/>
  <c r="V5" i="11"/>
  <c r="U14" i="11"/>
  <c r="V36" i="7"/>
  <c r="U37" i="8" s="1"/>
  <c r="T10" i="5"/>
  <c r="T12" i="5" s="1"/>
  <c r="U13" i="7"/>
  <c r="T57" i="10"/>
  <c r="T63" i="10" s="1"/>
  <c r="V7" i="7" s="1"/>
  <c r="U8" i="8" s="1"/>
  <c r="T62" i="10"/>
  <c r="J28" i="7"/>
  <c r="J41" i="7" s="1"/>
  <c r="J19" i="7"/>
  <c r="L14" i="7"/>
  <c r="K16" i="8" s="1"/>
  <c r="I40" i="8"/>
  <c r="K12" i="7"/>
  <c r="K9" i="7"/>
  <c r="J49" i="8"/>
  <c r="K34" i="7"/>
  <c r="U51" i="10"/>
  <c r="U60" i="10" s="1"/>
  <c r="U7" i="9" s="1"/>
  <c r="U55" i="10"/>
  <c r="V49" i="10"/>
  <c r="V65" i="10" s="1"/>
  <c r="W9" i="8" s="1"/>
  <c r="M6" i="9" l="1"/>
  <c r="M9" i="9" s="1"/>
  <c r="M10" i="9" s="1"/>
  <c r="L13" i="9"/>
  <c r="S42" i="10"/>
  <c r="U40" i="10"/>
  <c r="U41" i="10" s="1"/>
  <c r="T42" i="10"/>
  <c r="U52" i="10"/>
  <c r="U53" i="10" s="1"/>
  <c r="W27" i="8"/>
  <c r="U26" i="10"/>
  <c r="U27" i="10" s="1"/>
  <c r="U28" i="10" s="1"/>
  <c r="V31" i="7"/>
  <c r="U32" i="8" s="1"/>
  <c r="L43" i="7"/>
  <c r="K11" i="11"/>
  <c r="W5" i="11"/>
  <c r="V14" i="11"/>
  <c r="W36" i="7"/>
  <c r="V37" i="8" s="1"/>
  <c r="X26" i="8"/>
  <c r="Y26" i="7"/>
  <c r="W7" i="11"/>
  <c r="V16" i="11"/>
  <c r="W33" i="7" s="1"/>
  <c r="V34" i="8" s="1"/>
  <c r="Z9" i="11"/>
  <c r="Y18" i="11"/>
  <c r="Z25" i="7" s="1"/>
  <c r="U10" i="5"/>
  <c r="U12" i="5" s="1"/>
  <c r="V13" i="7"/>
  <c r="U57" i="10"/>
  <c r="U63" i="10" s="1"/>
  <c r="W7" i="7" s="1"/>
  <c r="W13" i="7" s="1"/>
  <c r="U62" i="10"/>
  <c r="K7" i="8"/>
  <c r="L6" i="7"/>
  <c r="J35" i="8"/>
  <c r="K39" i="7"/>
  <c r="J14" i="8"/>
  <c r="K16" i="7"/>
  <c r="K18" i="7" s="1"/>
  <c r="U15" i="8"/>
  <c r="K19" i="11"/>
  <c r="V51" i="10"/>
  <c r="V60" i="10" s="1"/>
  <c r="V7" i="9" s="1"/>
  <c r="V55" i="10"/>
  <c r="L10" i="11"/>
  <c r="W49" i="10"/>
  <c r="W65" i="10" s="1"/>
  <c r="X9" i="8" s="1"/>
  <c r="N6" i="9" l="1"/>
  <c r="N9" i="9" s="1"/>
  <c r="N10" i="9" s="1"/>
  <c r="M13" i="9"/>
  <c r="U42" i="10"/>
  <c r="V40" i="10"/>
  <c r="V41" i="10" s="1"/>
  <c r="V52" i="10"/>
  <c r="V53" i="10" s="1"/>
  <c r="V26" i="10"/>
  <c r="V27" i="10" s="1"/>
  <c r="V28" i="10" s="1"/>
  <c r="L15" i="7"/>
  <c r="K17" i="8" s="1"/>
  <c r="K20" i="11"/>
  <c r="W31" i="7"/>
  <c r="V32" i="8" s="1"/>
  <c r="AA9" i="11"/>
  <c r="Z18" i="11"/>
  <c r="AA25" i="7" s="1"/>
  <c r="Y26" i="8"/>
  <c r="Z26" i="7"/>
  <c r="X7" i="11"/>
  <c r="W16" i="11"/>
  <c r="X33" i="7" s="1"/>
  <c r="W34" i="8" s="1"/>
  <c r="X27" i="8"/>
  <c r="X5" i="11"/>
  <c r="X36" i="7"/>
  <c r="W37" i="8" s="1"/>
  <c r="W14" i="11"/>
  <c r="V10" i="5"/>
  <c r="V12" i="5" s="1"/>
  <c r="V8" i="8"/>
  <c r="V15" i="8" s="1"/>
  <c r="J40" i="8"/>
  <c r="V57" i="10"/>
  <c r="V63" i="10" s="1"/>
  <c r="X7" i="7" s="1"/>
  <c r="W8" i="8" s="1"/>
  <c r="W15" i="8" s="1"/>
  <c r="V62" i="10"/>
  <c r="L34" i="7"/>
  <c r="K49" i="8"/>
  <c r="M14" i="7"/>
  <c r="L16" i="8" s="1"/>
  <c r="K19" i="7"/>
  <c r="K28" i="7"/>
  <c r="K41" i="7" s="1"/>
  <c r="L12" i="7"/>
  <c r="L9" i="7"/>
  <c r="W51" i="10"/>
  <c r="W60" i="10" s="1"/>
  <c r="W7" i="9" s="1"/>
  <c r="W55" i="10"/>
  <c r="X49" i="10"/>
  <c r="X65" i="10" s="1"/>
  <c r="Y9" i="8" s="1"/>
  <c r="O6" i="9" l="1"/>
  <c r="O9" i="9" s="1"/>
  <c r="O10" i="9" s="1"/>
  <c r="N13" i="9"/>
  <c r="V42" i="10"/>
  <c r="W40" i="10"/>
  <c r="W41" i="10" s="1"/>
  <c r="W52" i="10"/>
  <c r="W53" i="10" s="1"/>
  <c r="Y27" i="8"/>
  <c r="W26" i="10"/>
  <c r="W27" i="10" s="1"/>
  <c r="W28" i="10" s="1"/>
  <c r="M43" i="7"/>
  <c r="L11" i="11"/>
  <c r="X31" i="7"/>
  <c r="W32" i="8" s="1"/>
  <c r="Y7" i="11"/>
  <c r="X16" i="11"/>
  <c r="Y33" i="7" s="1"/>
  <c r="X34" i="8" s="1"/>
  <c r="Y5" i="11"/>
  <c r="Y36" i="7"/>
  <c r="X37" i="8" s="1"/>
  <c r="X14" i="11"/>
  <c r="Z26" i="8"/>
  <c r="AA26" i="7"/>
  <c r="AB9" i="11"/>
  <c r="AA18" i="11"/>
  <c r="AB25" i="7" s="1"/>
  <c r="W10" i="5"/>
  <c r="W12" i="5" s="1"/>
  <c r="X13" i="7"/>
  <c r="Z23" i="5"/>
  <c r="D23" i="13" s="1"/>
  <c r="W57" i="10"/>
  <c r="W63" i="10" s="1"/>
  <c r="Y7" i="7" s="1"/>
  <c r="X8" i="8" s="1"/>
  <c r="X15" i="8" s="1"/>
  <c r="W62" i="10"/>
  <c r="L7" i="8"/>
  <c r="M6" i="7"/>
  <c r="L19" i="11"/>
  <c r="K14" i="8"/>
  <c r="L16" i="7"/>
  <c r="L18" i="7" s="1"/>
  <c r="K35" i="8"/>
  <c r="L39" i="7"/>
  <c r="X51" i="10"/>
  <c r="X60" i="10" s="1"/>
  <c r="X7" i="9" s="1"/>
  <c r="X55" i="10"/>
  <c r="M10" i="11"/>
  <c r="Y49" i="10"/>
  <c r="Y65" i="10" s="1"/>
  <c r="Z9" i="8" s="1"/>
  <c r="O13" i="9" l="1"/>
  <c r="P6" i="9"/>
  <c r="P9" i="9" s="1"/>
  <c r="P10" i="9" s="1"/>
  <c r="W42" i="10"/>
  <c r="X40" i="10"/>
  <c r="X41" i="10" s="1"/>
  <c r="X52" i="10"/>
  <c r="X53" i="10" s="1"/>
  <c r="Z27" i="8"/>
  <c r="X26" i="10"/>
  <c r="X27" i="10" s="1"/>
  <c r="X28" i="10" s="1"/>
  <c r="M15" i="7"/>
  <c r="L17" i="8" s="1"/>
  <c r="L20" i="11"/>
  <c r="Y31" i="7"/>
  <c r="X32" i="8" s="1"/>
  <c r="AA26" i="8"/>
  <c r="AB26" i="7"/>
  <c r="AC9" i="11"/>
  <c r="AB18" i="11"/>
  <c r="AC25" i="7" s="1"/>
  <c r="Z5" i="11"/>
  <c r="Z36" i="7"/>
  <c r="Y37" i="8" s="1"/>
  <c r="Y14" i="11"/>
  <c r="Z7" i="11"/>
  <c r="Y16" i="11"/>
  <c r="Z33" i="7" s="1"/>
  <c r="Y34" i="8" s="1"/>
  <c r="X10" i="5"/>
  <c r="X12" i="5" s="1"/>
  <c r="AA23" i="5"/>
  <c r="K40" i="8"/>
  <c r="Y13" i="7"/>
  <c r="X57" i="10"/>
  <c r="X63" i="10" s="1"/>
  <c r="Z7" i="7" s="1"/>
  <c r="Y8" i="8" s="1"/>
  <c r="Y15" i="8" s="1"/>
  <c r="X62" i="10"/>
  <c r="N14" i="7"/>
  <c r="M16" i="8" s="1"/>
  <c r="M12" i="7"/>
  <c r="M9" i="7"/>
  <c r="L19" i="7"/>
  <c r="L28" i="7"/>
  <c r="L41" i="7" s="1"/>
  <c r="M34" i="7"/>
  <c r="L49" i="8"/>
  <c r="Y51" i="10"/>
  <c r="Y60" i="10" s="1"/>
  <c r="Y7" i="9" s="1"/>
  <c r="Y55" i="10"/>
  <c r="Z49" i="10"/>
  <c r="Z65" i="10" s="1"/>
  <c r="AA9" i="8" s="1"/>
  <c r="E9" i="6" s="1"/>
  <c r="P13" i="9" l="1"/>
  <c r="Q6" i="9"/>
  <c r="Q9" i="9" s="1"/>
  <c r="Q10" i="9" s="1"/>
  <c r="X42" i="10"/>
  <c r="Y40" i="10"/>
  <c r="Y41" i="10" s="1"/>
  <c r="Y52" i="10"/>
  <c r="Y53" i="10" s="1"/>
  <c r="Y26" i="10"/>
  <c r="Y27" i="10" s="1"/>
  <c r="Y28" i="10" s="1"/>
  <c r="Z31" i="7"/>
  <c r="Y32" i="8" s="1"/>
  <c r="N43" i="7"/>
  <c r="M11" i="11"/>
  <c r="AA7" i="11"/>
  <c r="Z16" i="11"/>
  <c r="AA33" i="7" s="1"/>
  <c r="Z34" i="8" s="1"/>
  <c r="AB26" i="8"/>
  <c r="AC26" i="7"/>
  <c r="AD9" i="11"/>
  <c r="AC18" i="11"/>
  <c r="AD25" i="7" s="1"/>
  <c r="AA5" i="11"/>
  <c r="AA36" i="7"/>
  <c r="Z37" i="8" s="1"/>
  <c r="Z14" i="11"/>
  <c r="AA27" i="8"/>
  <c r="E27" i="6" s="1"/>
  <c r="E26" i="6"/>
  <c r="Y10" i="5"/>
  <c r="Y12" i="5" s="1"/>
  <c r="AB23" i="5"/>
  <c r="Z13" i="7"/>
  <c r="Y57" i="10"/>
  <c r="Y63" i="10" s="1"/>
  <c r="AA7" i="7" s="1"/>
  <c r="Z8" i="8" s="1"/>
  <c r="Z15" i="8" s="1"/>
  <c r="Y62" i="10"/>
  <c r="L35" i="8"/>
  <c r="M39" i="7"/>
  <c r="M19" i="11"/>
  <c r="M7" i="8"/>
  <c r="N6" i="7"/>
  <c r="L14" i="8"/>
  <c r="M16" i="7"/>
  <c r="M18" i="7" s="1"/>
  <c r="Z51" i="10"/>
  <c r="Z60" i="10" s="1"/>
  <c r="Z7" i="9" s="1"/>
  <c r="Z55" i="10"/>
  <c r="N10" i="11"/>
  <c r="AA49" i="10"/>
  <c r="AA65" i="10" s="1"/>
  <c r="AB9" i="8" s="1"/>
  <c r="Q13" i="9" l="1"/>
  <c r="R6" i="9"/>
  <c r="R9" i="9" s="1"/>
  <c r="R10" i="9" s="1"/>
  <c r="Y42" i="10"/>
  <c r="Z40" i="10"/>
  <c r="Z41" i="10" s="1"/>
  <c r="Z52" i="10"/>
  <c r="Z53" i="10" s="1"/>
  <c r="Z26" i="10"/>
  <c r="Z27" i="10" s="1"/>
  <c r="Z28" i="10" s="1"/>
  <c r="AA31" i="7"/>
  <c r="Z32" i="8" s="1"/>
  <c r="N15" i="7"/>
  <c r="M17" i="8" s="1"/>
  <c r="M20" i="11"/>
  <c r="AC26" i="8"/>
  <c r="AD26" i="7"/>
  <c r="AB27" i="8"/>
  <c r="AB5" i="11"/>
  <c r="AB36" i="7"/>
  <c r="AA37" i="8" s="1"/>
  <c r="E37" i="6" s="1"/>
  <c r="AA14" i="11"/>
  <c r="AE9" i="11"/>
  <c r="AD18" i="11"/>
  <c r="AE25" i="7" s="1"/>
  <c r="AB7" i="11"/>
  <c r="AA16" i="11"/>
  <c r="AB33" i="7" s="1"/>
  <c r="AA34" i="8" s="1"/>
  <c r="E34" i="6" s="1"/>
  <c r="Z10" i="5"/>
  <c r="Z12" i="5" s="1"/>
  <c r="AC23" i="5"/>
  <c r="L40" i="8"/>
  <c r="AA13" i="7"/>
  <c r="Z57" i="10"/>
  <c r="Z63" i="10" s="1"/>
  <c r="AB7" i="7" s="1"/>
  <c r="AA8" i="8" s="1"/>
  <c r="Z62" i="10"/>
  <c r="M19" i="7"/>
  <c r="M28" i="7"/>
  <c r="M41" i="7" s="1"/>
  <c r="O14" i="7"/>
  <c r="N16" i="8" s="1"/>
  <c r="M49" i="8"/>
  <c r="N34" i="7"/>
  <c r="N12" i="7"/>
  <c r="M14" i="8" s="1"/>
  <c r="N9" i="7"/>
  <c r="AA51" i="10"/>
  <c r="AA60" i="10" s="1"/>
  <c r="AA7" i="9" s="1"/>
  <c r="AA55" i="10"/>
  <c r="AB49" i="10"/>
  <c r="AB65" i="10" s="1"/>
  <c r="AC9" i="8" s="1"/>
  <c r="R13" i="9" l="1"/>
  <c r="S6" i="9"/>
  <c r="Z42" i="10"/>
  <c r="AA40" i="10"/>
  <c r="AA41" i="10" s="1"/>
  <c r="AA52" i="10"/>
  <c r="AA53" i="10" s="1"/>
  <c r="AC27" i="8"/>
  <c r="AA26" i="10"/>
  <c r="AA27" i="10" s="1"/>
  <c r="AA28" i="10" s="1"/>
  <c r="AB31" i="7"/>
  <c r="AA32" i="8" s="1"/>
  <c r="E32" i="6" s="1"/>
  <c r="O43" i="7"/>
  <c r="N11" i="11"/>
  <c r="AC7" i="11"/>
  <c r="AB16" i="11"/>
  <c r="AC33" i="7" s="1"/>
  <c r="AB34" i="8" s="1"/>
  <c r="AD26" i="8"/>
  <c r="AE26" i="7"/>
  <c r="AF9" i="11"/>
  <c r="AE18" i="11"/>
  <c r="AF25" i="7" s="1"/>
  <c r="AC5" i="11"/>
  <c r="AB14" i="11"/>
  <c r="AC36" i="7"/>
  <c r="AB37" i="8" s="1"/>
  <c r="AA10" i="5"/>
  <c r="AA12" i="5" s="1"/>
  <c r="D10" i="13"/>
  <c r="AB13" i="7"/>
  <c r="AD23" i="5"/>
  <c r="AA57" i="10"/>
  <c r="AA63" i="10" s="1"/>
  <c r="AC7" i="7" s="1"/>
  <c r="AB8" i="8" s="1"/>
  <c r="AA62" i="10"/>
  <c r="M35" i="8"/>
  <c r="N39" i="7"/>
  <c r="AA15" i="8"/>
  <c r="E15" i="6" s="1"/>
  <c r="E8" i="6"/>
  <c r="N7" i="8"/>
  <c r="O6" i="7"/>
  <c r="N16" i="7"/>
  <c r="N18" i="7" s="1"/>
  <c r="N19" i="11"/>
  <c r="AB51" i="10"/>
  <c r="AB60" i="10" s="1"/>
  <c r="AB7" i="9" s="1"/>
  <c r="AB55" i="10"/>
  <c r="O10" i="11"/>
  <c r="AC49" i="10"/>
  <c r="AC65" i="10" s="1"/>
  <c r="AD9" i="8" s="1"/>
  <c r="S9" i="9" l="1"/>
  <c r="S10" i="9" s="1"/>
  <c r="AA42" i="10"/>
  <c r="AB40" i="10"/>
  <c r="AB41" i="10" s="1"/>
  <c r="AB52" i="10"/>
  <c r="AB53" i="10" s="1"/>
  <c r="AB26" i="10"/>
  <c r="AB27" i="10" s="1"/>
  <c r="AB28" i="10" s="1"/>
  <c r="O15" i="7"/>
  <c r="N17" i="8" s="1"/>
  <c r="N20" i="11"/>
  <c r="AC31" i="7"/>
  <c r="AB32" i="8" s="1"/>
  <c r="AG9" i="11"/>
  <c r="AF18" i="11"/>
  <c r="AG25" i="7" s="1"/>
  <c r="AD5" i="11"/>
  <c r="AC14" i="11"/>
  <c r="AD36" i="7"/>
  <c r="AC37" i="8" s="1"/>
  <c r="AE26" i="8"/>
  <c r="AF26" i="7"/>
  <c r="AD27" i="8"/>
  <c r="AD7" i="11"/>
  <c r="AC16" i="11"/>
  <c r="AD33" i="7" s="1"/>
  <c r="AC34" i="8" s="1"/>
  <c r="AB10" i="5"/>
  <c r="AB12" i="5" s="1"/>
  <c r="AE23" i="5"/>
  <c r="M40" i="8"/>
  <c r="AC13" i="7"/>
  <c r="AB57" i="10"/>
  <c r="AB63" i="10" s="1"/>
  <c r="AD7" i="7" s="1"/>
  <c r="AD13" i="7" s="1"/>
  <c r="AB62" i="10"/>
  <c r="N19" i="7"/>
  <c r="N28" i="7"/>
  <c r="N41" i="7" s="1"/>
  <c r="P14" i="7"/>
  <c r="O16" i="8" s="1"/>
  <c r="D16" i="6" s="1"/>
  <c r="AB15" i="8"/>
  <c r="N49" i="8"/>
  <c r="O34" i="7"/>
  <c r="O12" i="7"/>
  <c r="O9" i="7"/>
  <c r="AC51" i="10"/>
  <c r="AC60" i="10" s="1"/>
  <c r="AC7" i="9" s="1"/>
  <c r="AC55" i="10"/>
  <c r="AD49" i="10"/>
  <c r="AD65" i="10" s="1"/>
  <c r="AE9" i="8" s="1"/>
  <c r="T6" i="9" l="1"/>
  <c r="T9" i="9" s="1"/>
  <c r="T10" i="9" s="1"/>
  <c r="S13" i="9"/>
  <c r="AB42" i="10"/>
  <c r="AC40" i="10"/>
  <c r="AC41" i="10" s="1"/>
  <c r="AC52" i="10"/>
  <c r="AC53" i="10" s="1"/>
  <c r="AE27" i="8"/>
  <c r="AC26" i="10"/>
  <c r="AC27" i="10" s="1"/>
  <c r="AC28" i="10" s="1"/>
  <c r="AD31" i="7"/>
  <c r="AC32" i="8" s="1"/>
  <c r="P43" i="7"/>
  <c r="O11" i="11"/>
  <c r="AE5" i="11"/>
  <c r="AD14" i="11"/>
  <c r="AE36" i="7"/>
  <c r="AD37" i="8" s="1"/>
  <c r="AF26" i="8"/>
  <c r="AG26" i="7"/>
  <c r="AH9" i="11"/>
  <c r="AG18" i="11"/>
  <c r="AH25" i="7" s="1"/>
  <c r="AE7" i="11"/>
  <c r="AD16" i="11"/>
  <c r="AE33" i="7" s="1"/>
  <c r="AD34" i="8" s="1"/>
  <c r="AC10" i="5"/>
  <c r="AC12" i="5" s="1"/>
  <c r="AC8" i="8"/>
  <c r="AC15" i="8" s="1"/>
  <c r="AF23" i="5"/>
  <c r="AC57" i="10"/>
  <c r="AC63" i="10" s="1"/>
  <c r="AE7" i="7" s="1"/>
  <c r="AE13" i="7" s="1"/>
  <c r="AC62" i="10"/>
  <c r="O7" i="8"/>
  <c r="P6" i="7"/>
  <c r="N35" i="8"/>
  <c r="O39" i="7"/>
  <c r="O19" i="11"/>
  <c r="N14" i="8"/>
  <c r="O16" i="7"/>
  <c r="O18" i="7" s="1"/>
  <c r="AD51" i="10"/>
  <c r="AD60" i="10" s="1"/>
  <c r="AD7" i="9" s="1"/>
  <c r="AD55" i="10"/>
  <c r="P10" i="11"/>
  <c r="AE49" i="10"/>
  <c r="AE65" i="10" s="1"/>
  <c r="AF9" i="8" s="1"/>
  <c r="U6" i="9" l="1"/>
  <c r="U9" i="9" s="1"/>
  <c r="U10" i="9" s="1"/>
  <c r="T13" i="9"/>
  <c r="AC42" i="10"/>
  <c r="AD40" i="10"/>
  <c r="AD41" i="10" s="1"/>
  <c r="AD52" i="10"/>
  <c r="AD53" i="10" s="1"/>
  <c r="AF27" i="8"/>
  <c r="AD26" i="10"/>
  <c r="AD27" i="10" s="1"/>
  <c r="AD28" i="10" s="1"/>
  <c r="AE31" i="7"/>
  <c r="AD32" i="8" s="1"/>
  <c r="P15" i="7"/>
  <c r="O17" i="8" s="1"/>
  <c r="D17" i="6" s="1"/>
  <c r="O20" i="11"/>
  <c r="AF7" i="11"/>
  <c r="AE16" i="11"/>
  <c r="AF33" i="7" s="1"/>
  <c r="AE34" i="8" s="1"/>
  <c r="AG26" i="8"/>
  <c r="AH26" i="7"/>
  <c r="AI9" i="11"/>
  <c r="AH18" i="11"/>
  <c r="AI25" i="7" s="1"/>
  <c r="AF5" i="11"/>
  <c r="AE14" i="11"/>
  <c r="AF36" i="7"/>
  <c r="AE37" i="8" s="1"/>
  <c r="AD10" i="5"/>
  <c r="AD12" i="5" s="1"/>
  <c r="AD8" i="8"/>
  <c r="AD15" i="8" s="1"/>
  <c r="AG23" i="5"/>
  <c r="N40" i="8"/>
  <c r="AD57" i="10"/>
  <c r="AD63" i="10" s="1"/>
  <c r="AF7" i="7" s="1"/>
  <c r="AE8" i="8" s="1"/>
  <c r="AD62" i="10"/>
  <c r="Q14" i="7"/>
  <c r="P16" i="8" s="1"/>
  <c r="P34" i="7"/>
  <c r="O49" i="8"/>
  <c r="D49" i="6" s="1"/>
  <c r="O19" i="7"/>
  <c r="O28" i="7"/>
  <c r="O41" i="7" s="1"/>
  <c r="P12" i="7"/>
  <c r="P9" i="7"/>
  <c r="D7" i="6"/>
  <c r="AE51" i="10"/>
  <c r="AE60" i="10" s="1"/>
  <c r="AE7" i="9" s="1"/>
  <c r="AE55" i="10"/>
  <c r="AF49" i="10"/>
  <c r="AF65" i="10" s="1"/>
  <c r="AG9" i="8" s="1"/>
  <c r="V6" i="9" l="1"/>
  <c r="V9" i="9" s="1"/>
  <c r="V10" i="9" s="1"/>
  <c r="U13" i="9"/>
  <c r="AE40" i="10"/>
  <c r="AE41" i="10" s="1"/>
  <c r="AD42" i="10"/>
  <c r="AE52" i="10"/>
  <c r="AE53" i="10" s="1"/>
  <c r="AG27" i="8"/>
  <c r="AE26" i="10"/>
  <c r="AE27" i="10" s="1"/>
  <c r="AE28" i="10" s="1"/>
  <c r="Q43" i="7"/>
  <c r="P11" i="11"/>
  <c r="AF31" i="7"/>
  <c r="AE32" i="8" s="1"/>
  <c r="AH26" i="8"/>
  <c r="AI26" i="7"/>
  <c r="AJ9" i="11"/>
  <c r="AI18" i="11"/>
  <c r="AJ25" i="7" s="1"/>
  <c r="AG7" i="11"/>
  <c r="AF16" i="11"/>
  <c r="AG33" i="7" s="1"/>
  <c r="AF34" i="8" s="1"/>
  <c r="AG5" i="11"/>
  <c r="AF14" i="11"/>
  <c r="AG36" i="7"/>
  <c r="AF37" i="8" s="1"/>
  <c r="AE10" i="5"/>
  <c r="AE12" i="5" s="1"/>
  <c r="AF13" i="7"/>
  <c r="AH23" i="5"/>
  <c r="AE57" i="10"/>
  <c r="AE63" i="10" s="1"/>
  <c r="AG7" i="7" s="1"/>
  <c r="AF8" i="8" s="1"/>
  <c r="AF15" i="8" s="1"/>
  <c r="AE62" i="10"/>
  <c r="O14" i="8"/>
  <c r="P16" i="7"/>
  <c r="P18" i="7" s="1"/>
  <c r="P7" i="8"/>
  <c r="Q6" i="7"/>
  <c r="AE15" i="8"/>
  <c r="O35" i="8"/>
  <c r="P39" i="7"/>
  <c r="P19" i="11"/>
  <c r="AF51" i="10"/>
  <c r="AF60" i="10" s="1"/>
  <c r="AF7" i="9" s="1"/>
  <c r="AF55" i="10"/>
  <c r="Q10" i="11"/>
  <c r="AG49" i="10"/>
  <c r="AG65" i="10" s="1"/>
  <c r="AH9" i="8" s="1"/>
  <c r="W6" i="9" l="1"/>
  <c r="W9" i="9" s="1"/>
  <c r="W10" i="9" s="1"/>
  <c r="V13" i="9"/>
  <c r="AF40" i="10"/>
  <c r="AF41" i="10" s="1"/>
  <c r="AE42" i="10"/>
  <c r="AF52" i="10"/>
  <c r="AF53" i="10" s="1"/>
  <c r="AF26" i="10"/>
  <c r="AF27" i="10" s="1"/>
  <c r="AF28" i="10" s="1"/>
  <c r="AF42" i="10"/>
  <c r="Q15" i="7"/>
  <c r="P17" i="8" s="1"/>
  <c r="P20" i="11"/>
  <c r="AG31" i="7"/>
  <c r="AF32" i="8" s="1"/>
  <c r="AI26" i="8"/>
  <c r="AJ26" i="7"/>
  <c r="AK9" i="11"/>
  <c r="AJ18" i="11"/>
  <c r="AK25" i="7" s="1"/>
  <c r="AH27" i="8"/>
  <c r="AH5" i="11"/>
  <c r="AG14" i="11"/>
  <c r="AH36" i="7"/>
  <c r="AG37" i="8" s="1"/>
  <c r="AH7" i="11"/>
  <c r="AG16" i="11"/>
  <c r="AH33" i="7" s="1"/>
  <c r="AG34" i="8" s="1"/>
  <c r="AF10" i="5"/>
  <c r="AF12" i="5" s="1"/>
  <c r="AI23" i="5"/>
  <c r="AF57" i="10"/>
  <c r="AF63" i="10" s="1"/>
  <c r="AH7" i="7" s="1"/>
  <c r="AG8" i="8" s="1"/>
  <c r="AG15" i="8" s="1"/>
  <c r="AF62" i="10"/>
  <c r="AG13" i="7"/>
  <c r="P19" i="7"/>
  <c r="P28" i="7"/>
  <c r="P41" i="7" s="1"/>
  <c r="Q34" i="7"/>
  <c r="P49" i="8"/>
  <c r="R14" i="7"/>
  <c r="Q16" i="8" s="1"/>
  <c r="D14" i="6"/>
  <c r="O40" i="8"/>
  <c r="D40" i="6" s="1"/>
  <c r="D35" i="6"/>
  <c r="Q12" i="7"/>
  <c r="Q9" i="7"/>
  <c r="AG51" i="10"/>
  <c r="AG60" i="10" s="1"/>
  <c r="AG7" i="9" s="1"/>
  <c r="AG55" i="10"/>
  <c r="AH49" i="10"/>
  <c r="AH65" i="10" s="1"/>
  <c r="AI9" i="8" s="1"/>
  <c r="X6" i="9" l="1"/>
  <c r="W13" i="9"/>
  <c r="AG40" i="10"/>
  <c r="AG41" i="10" s="1"/>
  <c r="AG52" i="10"/>
  <c r="AG53" i="10" s="1"/>
  <c r="AI27" i="8"/>
  <c r="D9" i="16"/>
  <c r="D10" i="16" s="1"/>
  <c r="C9" i="16"/>
  <c r="C10" i="16" s="1"/>
  <c r="E9" i="16"/>
  <c r="E10" i="16" s="1"/>
  <c r="AG26" i="10"/>
  <c r="AG27" i="10" s="1"/>
  <c r="AG28" i="10" s="1"/>
  <c r="AH31" i="7"/>
  <c r="AG32" i="8" s="1"/>
  <c r="R43" i="7"/>
  <c r="Q11" i="11"/>
  <c r="AI7" i="11"/>
  <c r="AH16" i="11"/>
  <c r="AI33" i="7" s="1"/>
  <c r="AH34" i="8" s="1"/>
  <c r="AJ26" i="8"/>
  <c r="AK26" i="7"/>
  <c r="AL9" i="11"/>
  <c r="AK18" i="11"/>
  <c r="AL25" i="7" s="1"/>
  <c r="AI5" i="11"/>
  <c r="AH14" i="11"/>
  <c r="AI36" i="7"/>
  <c r="AH37" i="8" s="1"/>
  <c r="AG10" i="5"/>
  <c r="AG12" i="5" s="1"/>
  <c r="AH13" i="7"/>
  <c r="AJ23" i="5"/>
  <c r="AG57" i="10"/>
  <c r="AG63" i="10" s="1"/>
  <c r="AI7" i="7" s="1"/>
  <c r="AI13" i="7" s="1"/>
  <c r="AG62" i="10"/>
  <c r="P14" i="8"/>
  <c r="Q16" i="7"/>
  <c r="Q18" i="7" s="1"/>
  <c r="Q7" i="8"/>
  <c r="R6" i="7"/>
  <c r="Q19" i="11"/>
  <c r="P35" i="8"/>
  <c r="Q39" i="7"/>
  <c r="AH51" i="10"/>
  <c r="AH60" i="10" s="1"/>
  <c r="AH7" i="9" s="1"/>
  <c r="AH55" i="10"/>
  <c r="R10" i="11"/>
  <c r="AI49" i="10"/>
  <c r="AI65" i="10" s="1"/>
  <c r="AJ9" i="8" s="1"/>
  <c r="X9" i="9" l="1"/>
  <c r="X10" i="9" s="1"/>
  <c r="AG42" i="10"/>
  <c r="AH40" i="10"/>
  <c r="AH41" i="10" s="1"/>
  <c r="AH52" i="10"/>
  <c r="AH53" i="10" s="1"/>
  <c r="AJ27" i="8"/>
  <c r="E14" i="16"/>
  <c r="E18" i="16" s="1"/>
  <c r="E17" i="16"/>
  <c r="C14" i="16"/>
  <c r="C18" i="16" s="1"/>
  <c r="C17" i="16"/>
  <c r="D14" i="16"/>
  <c r="D18" i="16" s="1"/>
  <c r="D17" i="16"/>
  <c r="AH26" i="10"/>
  <c r="AH27" i="10" s="1"/>
  <c r="AH28" i="10" s="1"/>
  <c r="R15" i="7"/>
  <c r="Q17" i="8" s="1"/>
  <c r="Q20" i="11"/>
  <c r="AI31" i="7"/>
  <c r="AH32" i="8" s="1"/>
  <c r="AJ5" i="11"/>
  <c r="AJ36" i="7"/>
  <c r="AI37" i="8" s="1"/>
  <c r="AI14" i="11"/>
  <c r="AK26" i="8"/>
  <c r="AL26" i="7"/>
  <c r="AM9" i="11"/>
  <c r="AL18" i="11"/>
  <c r="AM25" i="7" s="1"/>
  <c r="AJ7" i="11"/>
  <c r="AI16" i="11"/>
  <c r="AJ33" i="7" s="1"/>
  <c r="AI34" i="8" s="1"/>
  <c r="AH10" i="5"/>
  <c r="AH12" i="5" s="1"/>
  <c r="AH8" i="8"/>
  <c r="AH15" i="8" s="1"/>
  <c r="AK23" i="5"/>
  <c r="AH57" i="10"/>
  <c r="AH63" i="10" s="1"/>
  <c r="AJ7" i="7" s="1"/>
  <c r="AI8" i="8" s="1"/>
  <c r="AI15" i="8" s="1"/>
  <c r="AH62" i="10"/>
  <c r="Q28" i="7"/>
  <c r="Q41" i="7" s="1"/>
  <c r="Q19" i="7"/>
  <c r="S14" i="7"/>
  <c r="R16" i="8" s="1"/>
  <c r="P40" i="8"/>
  <c r="R12" i="7"/>
  <c r="Q14" i="8" s="1"/>
  <c r="R9" i="7"/>
  <c r="Q49" i="8"/>
  <c r="R34" i="7"/>
  <c r="AI51" i="10"/>
  <c r="AI60" i="10" s="1"/>
  <c r="AI7" i="9" s="1"/>
  <c r="AI55" i="10"/>
  <c r="AJ49" i="10"/>
  <c r="AJ65" i="10" s="1"/>
  <c r="AK9" i="8" s="1"/>
  <c r="Y6" i="9" l="1"/>
  <c r="X13" i="9"/>
  <c r="AI40" i="10"/>
  <c r="AI41" i="10" s="1"/>
  <c r="AH42" i="10"/>
  <c r="AI52" i="10"/>
  <c r="AI53" i="10" s="1"/>
  <c r="AK27" i="8"/>
  <c r="AI26" i="10"/>
  <c r="AI27" i="10" s="1"/>
  <c r="AI28" i="10" s="1"/>
  <c r="S43" i="7"/>
  <c r="R11" i="11"/>
  <c r="AJ31" i="7"/>
  <c r="AI32" i="8" s="1"/>
  <c r="AK7" i="11"/>
  <c r="AJ16" i="11"/>
  <c r="AK33" i="7" s="1"/>
  <c r="AJ34" i="8" s="1"/>
  <c r="AL26" i="8"/>
  <c r="AM26" i="7"/>
  <c r="AM18" i="11"/>
  <c r="AN25" i="7" s="1"/>
  <c r="AK5" i="11"/>
  <c r="AK36" i="7"/>
  <c r="AJ37" i="8" s="1"/>
  <c r="AJ14" i="11"/>
  <c r="AI10" i="5"/>
  <c r="AI12" i="5" s="1"/>
  <c r="AJ13" i="7"/>
  <c r="AL23" i="5"/>
  <c r="E23" i="13" s="1"/>
  <c r="AI57" i="10"/>
  <c r="AI63" i="10" s="1"/>
  <c r="AK7" i="7" s="1"/>
  <c r="AJ8" i="8" s="1"/>
  <c r="AJ15" i="8" s="1"/>
  <c r="AI62" i="10"/>
  <c r="Q35" i="8"/>
  <c r="R39" i="7"/>
  <c r="R19" i="11"/>
  <c r="R7" i="8"/>
  <c r="S6" i="7"/>
  <c r="R16" i="7"/>
  <c r="R18" i="7" s="1"/>
  <c r="AJ51" i="10"/>
  <c r="AJ60" i="10" s="1"/>
  <c r="AJ7" i="9" s="1"/>
  <c r="AJ55" i="10"/>
  <c r="S10" i="11"/>
  <c r="AK49" i="10"/>
  <c r="AK65" i="10" s="1"/>
  <c r="AL9" i="8" s="1"/>
  <c r="Y9" i="9" l="1"/>
  <c r="Y10" i="9" s="1"/>
  <c r="AI42" i="10"/>
  <c r="AJ40" i="10"/>
  <c r="AJ41" i="10" s="1"/>
  <c r="AJ52" i="10"/>
  <c r="AJ53" i="10" s="1"/>
  <c r="AL27" i="8"/>
  <c r="AJ26" i="10"/>
  <c r="AJ27" i="10" s="1"/>
  <c r="AJ28" i="10" s="1"/>
  <c r="S15" i="7"/>
  <c r="R17" i="8" s="1"/>
  <c r="R20" i="11"/>
  <c r="AK31" i="7"/>
  <c r="AJ32" i="8" s="1"/>
  <c r="AL5" i="11"/>
  <c r="AL36" i="7"/>
  <c r="AK37" i="8" s="1"/>
  <c r="AK14" i="11"/>
  <c r="AM26" i="8"/>
  <c r="AN26" i="7"/>
  <c r="AO9" i="11"/>
  <c r="AN18" i="11"/>
  <c r="AO25" i="7" s="1"/>
  <c r="AL7" i="11"/>
  <c r="AK16" i="11"/>
  <c r="AL33" i="7" s="1"/>
  <c r="AK34" i="8" s="1"/>
  <c r="AJ10" i="5"/>
  <c r="AJ12" i="5" s="1"/>
  <c r="AM23" i="5"/>
  <c r="AK13" i="7"/>
  <c r="AJ57" i="10"/>
  <c r="AJ63" i="10" s="1"/>
  <c r="AL7" i="7" s="1"/>
  <c r="AK8" i="8" s="1"/>
  <c r="AK15" i="8" s="1"/>
  <c r="AJ62" i="10"/>
  <c r="R19" i="7"/>
  <c r="R28" i="7"/>
  <c r="R41" i="7" s="1"/>
  <c r="Q40" i="8"/>
  <c r="S12" i="7"/>
  <c r="S9" i="7"/>
  <c r="T14" i="7"/>
  <c r="S16" i="8" s="1"/>
  <c r="R49" i="8"/>
  <c r="S34" i="7"/>
  <c r="AK51" i="10"/>
  <c r="AK60" i="10" s="1"/>
  <c r="AK7" i="9" s="1"/>
  <c r="AK55" i="10"/>
  <c r="AL49" i="10"/>
  <c r="AL65" i="10" s="1"/>
  <c r="AM9" i="8" s="1"/>
  <c r="F9" i="6" s="1"/>
  <c r="Z6" i="9" l="1"/>
  <c r="Z9" i="9" s="1"/>
  <c r="Z10" i="9" s="1"/>
  <c r="Y13" i="9"/>
  <c r="AJ42" i="10"/>
  <c r="AK40" i="10"/>
  <c r="AK41" i="10" s="1"/>
  <c r="AK52" i="10"/>
  <c r="AK53" i="10" s="1"/>
  <c r="AK26" i="10"/>
  <c r="AK27" i="10" s="1"/>
  <c r="AK28" i="10" s="1"/>
  <c r="AL31" i="7"/>
  <c r="AK32" i="8" s="1"/>
  <c r="T43" i="7"/>
  <c r="S11" i="11"/>
  <c r="AM7" i="11"/>
  <c r="AL16" i="11"/>
  <c r="AM33" i="7" s="1"/>
  <c r="AL34" i="8" s="1"/>
  <c r="AP9" i="11"/>
  <c r="AO18" i="11"/>
  <c r="AP25" i="7" s="1"/>
  <c r="AM27" i="8"/>
  <c r="F27" i="6" s="1"/>
  <c r="F26" i="6"/>
  <c r="AN26" i="8"/>
  <c r="AO26" i="7"/>
  <c r="AM5" i="11"/>
  <c r="AM36" i="7"/>
  <c r="AL37" i="8" s="1"/>
  <c r="AL14" i="11"/>
  <c r="AK10" i="5"/>
  <c r="AK12" i="5" s="1"/>
  <c r="AL13" i="7"/>
  <c r="AN23" i="5"/>
  <c r="AK57" i="10"/>
  <c r="AK63" i="10" s="1"/>
  <c r="AM7" i="7" s="1"/>
  <c r="AL8" i="8" s="1"/>
  <c r="AL15" i="8" s="1"/>
  <c r="AK62" i="10"/>
  <c r="R14" i="8"/>
  <c r="S16" i="7"/>
  <c r="S18" i="7" s="1"/>
  <c r="S7" i="8"/>
  <c r="T6" i="7"/>
  <c r="S19" i="11"/>
  <c r="R35" i="8"/>
  <c r="S39" i="7"/>
  <c r="AL51" i="10"/>
  <c r="AL60" i="10" s="1"/>
  <c r="AL7" i="9" s="1"/>
  <c r="AL55" i="10"/>
  <c r="T10" i="11"/>
  <c r="AM49" i="10"/>
  <c r="AM65" i="10" s="1"/>
  <c r="AN9" i="8" s="1"/>
  <c r="AA6" i="9" l="1"/>
  <c r="AA9" i="9" s="1"/>
  <c r="AA10" i="9" s="1"/>
  <c r="Z13" i="9"/>
  <c r="AL40" i="10"/>
  <c r="AL41" i="10" s="1"/>
  <c r="AK42" i="10"/>
  <c r="AL52" i="10"/>
  <c r="AL53" i="10" s="1"/>
  <c r="AL26" i="10"/>
  <c r="AL27" i="10" s="1"/>
  <c r="AL28" i="10" s="1"/>
  <c r="AM31" i="7"/>
  <c r="AL32" i="8" s="1"/>
  <c r="T15" i="7"/>
  <c r="S17" i="8" s="1"/>
  <c r="S20" i="11"/>
  <c r="AQ9" i="11"/>
  <c r="AP18" i="11"/>
  <c r="AQ25" i="7" s="1"/>
  <c r="AN27" i="8"/>
  <c r="AN5" i="11"/>
  <c r="AN36" i="7"/>
  <c r="AM37" i="8" s="1"/>
  <c r="F37" i="6" s="1"/>
  <c r="AM14" i="11"/>
  <c r="AO26" i="8"/>
  <c r="AP26" i="7"/>
  <c r="AN7" i="11"/>
  <c r="AM16" i="11"/>
  <c r="AN33" i="7" s="1"/>
  <c r="AM34" i="8" s="1"/>
  <c r="F34" i="6" s="1"/>
  <c r="AL10" i="5"/>
  <c r="AL12" i="5" s="1"/>
  <c r="AO23" i="5"/>
  <c r="AM13" i="7"/>
  <c r="AL57" i="10"/>
  <c r="AL63" i="10" s="1"/>
  <c r="AN7" i="7" s="1"/>
  <c r="AN13" i="7" s="1"/>
  <c r="AL62" i="10"/>
  <c r="S19" i="7"/>
  <c r="S28" i="7"/>
  <c r="S41" i="7" s="1"/>
  <c r="U14" i="7"/>
  <c r="T16" i="8" s="1"/>
  <c r="R40" i="8"/>
  <c r="T34" i="7"/>
  <c r="S49" i="8"/>
  <c r="T12" i="7"/>
  <c r="T9" i="7"/>
  <c r="AM51" i="10"/>
  <c r="AM60" i="10" s="1"/>
  <c r="AM7" i="9" s="1"/>
  <c r="AM55" i="10"/>
  <c r="AN49" i="10"/>
  <c r="AN65" i="10" s="1"/>
  <c r="AO9" i="8" s="1"/>
  <c r="AA13" i="9" l="1"/>
  <c r="AB6" i="9"/>
  <c r="AL42" i="10"/>
  <c r="AM40" i="10"/>
  <c r="AM41" i="10" s="1"/>
  <c r="AM52" i="10"/>
  <c r="AM53" i="10" s="1"/>
  <c r="AO27" i="8"/>
  <c r="AM26" i="10"/>
  <c r="AM27" i="10" s="1"/>
  <c r="AM28" i="10" s="1"/>
  <c r="AN31" i="7"/>
  <c r="AM32" i="8" s="1"/>
  <c r="F32" i="6" s="1"/>
  <c r="U43" i="7"/>
  <c r="T11" i="11"/>
  <c r="AO7" i="11"/>
  <c r="AN16" i="11"/>
  <c r="AO33" i="7" s="1"/>
  <c r="AN34" i="8" s="1"/>
  <c r="AO5" i="11"/>
  <c r="AN14" i="11"/>
  <c r="AO36" i="7"/>
  <c r="AN37" i="8" s="1"/>
  <c r="AP26" i="8"/>
  <c r="AQ26" i="7"/>
  <c r="AR9" i="11"/>
  <c r="AQ18" i="11"/>
  <c r="AR25" i="7" s="1"/>
  <c r="AM10" i="5"/>
  <c r="AM12" i="5" s="1"/>
  <c r="E10" i="13"/>
  <c r="AM8" i="8"/>
  <c r="AM15" i="8" s="1"/>
  <c r="F15" i="6" s="1"/>
  <c r="AP23" i="5"/>
  <c r="AM57" i="10"/>
  <c r="AM63" i="10" s="1"/>
  <c r="AO7" i="7" s="1"/>
  <c r="AN8" i="8" s="1"/>
  <c r="AM62" i="10"/>
  <c r="S35" i="8"/>
  <c r="T39" i="7"/>
  <c r="T19" i="11"/>
  <c r="S14" i="8"/>
  <c r="T16" i="7"/>
  <c r="T18" i="7" s="1"/>
  <c r="T7" i="8"/>
  <c r="U6" i="7"/>
  <c r="AN51" i="10"/>
  <c r="AN60" i="10" s="1"/>
  <c r="AN7" i="9" s="1"/>
  <c r="AN55" i="10"/>
  <c r="U10" i="11"/>
  <c r="AO49" i="10"/>
  <c r="AO65" i="10" s="1"/>
  <c r="AP9" i="8" s="1"/>
  <c r="AB9" i="9" l="1"/>
  <c r="AB10" i="9"/>
  <c r="AM42" i="10"/>
  <c r="AN40" i="10"/>
  <c r="AN41" i="10" s="1"/>
  <c r="AN52" i="10"/>
  <c r="AN53" i="10" s="1"/>
  <c r="AP27" i="8"/>
  <c r="AN26" i="10"/>
  <c r="AN27" i="10" s="1"/>
  <c r="AN28" i="10" s="1"/>
  <c r="U15" i="7"/>
  <c r="T17" i="8" s="1"/>
  <c r="T20" i="11"/>
  <c r="AO31" i="7"/>
  <c r="AN32" i="8" s="1"/>
  <c r="AS9" i="11"/>
  <c r="AR18" i="11"/>
  <c r="AS25" i="7" s="1"/>
  <c r="AQ26" i="8"/>
  <c r="AR26" i="7"/>
  <c r="AP5" i="11"/>
  <c r="AO14" i="11"/>
  <c r="AP36" i="7"/>
  <c r="AO37" i="8" s="1"/>
  <c r="AP7" i="11"/>
  <c r="AO16" i="11"/>
  <c r="AP33" i="7" s="1"/>
  <c r="AO34" i="8" s="1"/>
  <c r="F8" i="6"/>
  <c r="AN10" i="5"/>
  <c r="AN12" i="5" s="1"/>
  <c r="AQ23" i="5"/>
  <c r="AO13" i="7"/>
  <c r="AN57" i="10"/>
  <c r="AN63" i="10" s="1"/>
  <c r="AP7" i="7" s="1"/>
  <c r="AP13" i="7" s="1"/>
  <c r="AN62" i="10"/>
  <c r="T19" i="7"/>
  <c r="T28" i="7"/>
  <c r="T41" i="7" s="1"/>
  <c r="S40" i="8"/>
  <c r="U12" i="7"/>
  <c r="U9" i="7"/>
  <c r="U34" i="7"/>
  <c r="T49" i="8"/>
  <c r="V14" i="7"/>
  <c r="U16" i="8" s="1"/>
  <c r="AN15" i="8"/>
  <c r="AO51" i="10"/>
  <c r="AO60" i="10" s="1"/>
  <c r="AO7" i="9" s="1"/>
  <c r="AO55" i="10"/>
  <c r="AP49" i="10"/>
  <c r="AP65" i="10" s="1"/>
  <c r="AQ9" i="8" s="1"/>
  <c r="AB13" i="9" l="1"/>
  <c r="AC6" i="9"/>
  <c r="AC9" i="9" s="1"/>
  <c r="AC10" i="9" s="1"/>
  <c r="AO40" i="10"/>
  <c r="AO41" i="10" s="1"/>
  <c r="AN42" i="10"/>
  <c r="AO52" i="10"/>
  <c r="AO53" i="10" s="1"/>
  <c r="AQ27" i="8"/>
  <c r="AO26" i="10"/>
  <c r="AO27" i="10" s="1"/>
  <c r="AO28" i="10" s="1"/>
  <c r="AP31" i="7"/>
  <c r="AO32" i="8" s="1"/>
  <c r="V43" i="7"/>
  <c r="U11" i="11"/>
  <c r="AR26" i="8"/>
  <c r="AS26" i="7"/>
  <c r="AT9" i="11"/>
  <c r="AS18" i="11"/>
  <c r="AT25" i="7" s="1"/>
  <c r="AQ5" i="11"/>
  <c r="AP14" i="11"/>
  <c r="AQ36" i="7"/>
  <c r="AP37" i="8" s="1"/>
  <c r="AQ7" i="11"/>
  <c r="AP16" i="11"/>
  <c r="AQ33" i="7" s="1"/>
  <c r="AP34" i="8" s="1"/>
  <c r="AO10" i="5"/>
  <c r="AO12" i="5" s="1"/>
  <c r="AO8" i="8"/>
  <c r="AO15" i="8" s="1"/>
  <c r="AR23" i="5"/>
  <c r="AO57" i="10"/>
  <c r="AO63" i="10" s="1"/>
  <c r="AQ7" i="7" s="1"/>
  <c r="AQ13" i="7" s="1"/>
  <c r="AO62" i="10"/>
  <c r="U7" i="8"/>
  <c r="V6" i="7"/>
  <c r="T35" i="8"/>
  <c r="U39" i="7"/>
  <c r="U19" i="11"/>
  <c r="T14" i="8"/>
  <c r="U16" i="7"/>
  <c r="U18" i="7" s="1"/>
  <c r="AP51" i="10"/>
  <c r="AP60" i="10" s="1"/>
  <c r="AP7" i="9" s="1"/>
  <c r="AP55" i="10"/>
  <c r="V10" i="11"/>
  <c r="AQ49" i="10"/>
  <c r="AQ65" i="10" s="1"/>
  <c r="AR9" i="8" s="1"/>
  <c r="AC13" i="9" l="1"/>
  <c r="AD6" i="9"/>
  <c r="AD9" i="9" s="1"/>
  <c r="AD10" i="9" s="1"/>
  <c r="AP40" i="10"/>
  <c r="AP41" i="10" s="1"/>
  <c r="AO42" i="10"/>
  <c r="AP52" i="10"/>
  <c r="AP53" i="10" s="1"/>
  <c r="AP26" i="10"/>
  <c r="AP27" i="10" s="1"/>
  <c r="AP28" i="10" s="1"/>
  <c r="AQ31" i="7"/>
  <c r="AP32" i="8" s="1"/>
  <c r="V15" i="7"/>
  <c r="U17" i="8" s="1"/>
  <c r="U20" i="11"/>
  <c r="AR7" i="11"/>
  <c r="AQ16" i="11"/>
  <c r="AR33" i="7" s="1"/>
  <c r="AQ34" i="8" s="1"/>
  <c r="AU9" i="11"/>
  <c r="AT18" i="11"/>
  <c r="AU25" i="7" s="1"/>
  <c r="AR5" i="11"/>
  <c r="AQ14" i="11"/>
  <c r="AR36" i="7"/>
  <c r="AQ37" i="8" s="1"/>
  <c r="AR27" i="8"/>
  <c r="AS26" i="8"/>
  <c r="AT26" i="7"/>
  <c r="AP10" i="5"/>
  <c r="AP12" i="5" s="1"/>
  <c r="AP8" i="8"/>
  <c r="AP15" i="8" s="1"/>
  <c r="AS23" i="5"/>
  <c r="AP57" i="10"/>
  <c r="AP63" i="10" s="1"/>
  <c r="AR7" i="7" s="1"/>
  <c r="AQ8" i="8" s="1"/>
  <c r="AQ15" i="8" s="1"/>
  <c r="AP62" i="10"/>
  <c r="U19" i="7"/>
  <c r="U28" i="7"/>
  <c r="U41" i="7" s="1"/>
  <c r="V12" i="7"/>
  <c r="U14" i="8" s="1"/>
  <c r="V9" i="7"/>
  <c r="W14" i="7"/>
  <c r="V16" i="8" s="1"/>
  <c r="U49" i="8"/>
  <c r="V34" i="7"/>
  <c r="T40" i="8"/>
  <c r="AQ51" i="10"/>
  <c r="AQ60" i="10" s="1"/>
  <c r="AQ7" i="9" s="1"/>
  <c r="AQ55" i="10"/>
  <c r="AR49" i="10"/>
  <c r="AR65" i="10" s="1"/>
  <c r="AS9" i="8" s="1"/>
  <c r="AD13" i="9" l="1"/>
  <c r="AE6" i="9"/>
  <c r="AE9" i="9" s="1"/>
  <c r="AE10" i="9" s="1"/>
  <c r="AE13" i="9" s="1"/>
  <c r="AF6" i="9"/>
  <c r="AQ40" i="10"/>
  <c r="AQ41" i="10" s="1"/>
  <c r="AP42" i="10"/>
  <c r="AQ52" i="10"/>
  <c r="AQ53" i="10" s="1"/>
  <c r="AS27" i="8"/>
  <c r="AQ26" i="10"/>
  <c r="AQ27" i="10" s="1"/>
  <c r="AQ28" i="10" s="1"/>
  <c r="AR31" i="7"/>
  <c r="AQ32" i="8" s="1"/>
  <c r="W43" i="7"/>
  <c r="V11" i="11"/>
  <c r="AS5" i="11"/>
  <c r="AR14" i="11"/>
  <c r="AS36" i="7"/>
  <c r="AR37" i="8" s="1"/>
  <c r="AS7" i="11"/>
  <c r="AR16" i="11"/>
  <c r="AS33" i="7" s="1"/>
  <c r="AR34" i="8" s="1"/>
  <c r="AT26" i="8"/>
  <c r="AU26" i="7"/>
  <c r="AV9" i="11"/>
  <c r="AU18" i="11"/>
  <c r="AV25" i="7" s="1"/>
  <c r="AQ10" i="5"/>
  <c r="AQ12" i="5" s="1"/>
  <c r="AT23" i="5"/>
  <c r="AQ57" i="10"/>
  <c r="AQ63" i="10" s="1"/>
  <c r="AS7" i="7" s="1"/>
  <c r="AR8" i="8" s="1"/>
  <c r="AQ62" i="10"/>
  <c r="AR13" i="7"/>
  <c r="V16" i="7"/>
  <c r="V18" i="7" s="1"/>
  <c r="V7" i="8"/>
  <c r="W6" i="7"/>
  <c r="U35" i="8"/>
  <c r="V39" i="7"/>
  <c r="V19" i="11"/>
  <c r="AR51" i="10"/>
  <c r="AR60" i="10" s="1"/>
  <c r="AR7" i="9" s="1"/>
  <c r="AR55" i="10"/>
  <c r="W10" i="11"/>
  <c r="AS49" i="10"/>
  <c r="AS65" i="10" s="1"/>
  <c r="AT9" i="8" s="1"/>
  <c r="AF9" i="9" l="1"/>
  <c r="AF10" i="9" s="1"/>
  <c r="AR40" i="10"/>
  <c r="AR41" i="10" s="1"/>
  <c r="AQ42" i="10"/>
  <c r="AR52" i="10"/>
  <c r="AR53" i="10" s="1"/>
  <c r="AR26" i="10"/>
  <c r="AR27" i="10" s="1"/>
  <c r="AR28" i="10" s="1"/>
  <c r="AS31" i="7"/>
  <c r="AR32" i="8" s="1"/>
  <c r="W15" i="7"/>
  <c r="V17" i="8" s="1"/>
  <c r="V20" i="11"/>
  <c r="AU26" i="8"/>
  <c r="AV26" i="7"/>
  <c r="AT27" i="8"/>
  <c r="AW9" i="11"/>
  <c r="AV18" i="11"/>
  <c r="AW25" i="7" s="1"/>
  <c r="AT7" i="11"/>
  <c r="AS16" i="11"/>
  <c r="AT33" i="7" s="1"/>
  <c r="AS34" i="8" s="1"/>
  <c r="AT5" i="11"/>
  <c r="AS14" i="11"/>
  <c r="AT36" i="7"/>
  <c r="AS37" i="8" s="1"/>
  <c r="AR10" i="5"/>
  <c r="AR12" i="5" s="1"/>
  <c r="AU23" i="5"/>
  <c r="U40" i="8"/>
  <c r="AR57" i="10"/>
  <c r="AR63" i="10" s="1"/>
  <c r="AT7" i="7" s="1"/>
  <c r="AS8" i="8" s="1"/>
  <c r="AS15" i="8" s="1"/>
  <c r="AR62" i="10"/>
  <c r="AS13" i="7"/>
  <c r="W12" i="7"/>
  <c r="W9" i="7"/>
  <c r="X14" i="7"/>
  <c r="W16" i="8" s="1"/>
  <c r="V49" i="8"/>
  <c r="W34" i="7"/>
  <c r="V28" i="7"/>
  <c r="V41" i="7" s="1"/>
  <c r="V19" i="7"/>
  <c r="AR15" i="8"/>
  <c r="AS51" i="10"/>
  <c r="AS60" i="10" s="1"/>
  <c r="AS7" i="9" s="1"/>
  <c r="AS55" i="10"/>
  <c r="AT49" i="10"/>
  <c r="AT65" i="10" s="1"/>
  <c r="AU9" i="8" s="1"/>
  <c r="AG6" i="9" l="1"/>
  <c r="AF13" i="9"/>
  <c r="AS40" i="10"/>
  <c r="AS41" i="10" s="1"/>
  <c r="AR42" i="10"/>
  <c r="AS52" i="10"/>
  <c r="AS53" i="10" s="1"/>
  <c r="AU27" i="8"/>
  <c r="AS26" i="10"/>
  <c r="AS27" i="10" s="1"/>
  <c r="AS28" i="10" s="1"/>
  <c r="AT31" i="7"/>
  <c r="AS32" i="8" s="1"/>
  <c r="X43" i="7"/>
  <c r="W11" i="11"/>
  <c r="AU5" i="11"/>
  <c r="AT14" i="11"/>
  <c r="AU36" i="7"/>
  <c r="AT37" i="8" s="1"/>
  <c r="AU7" i="11"/>
  <c r="AT16" i="11"/>
  <c r="AU33" i="7" s="1"/>
  <c r="AT34" i="8" s="1"/>
  <c r="AV26" i="8"/>
  <c r="AW26" i="7"/>
  <c r="AX9" i="11"/>
  <c r="AW18" i="11"/>
  <c r="AX25" i="7" s="1"/>
  <c r="AS10" i="5"/>
  <c r="AS12" i="5" s="1"/>
  <c r="AV23" i="5"/>
  <c r="AT13" i="7"/>
  <c r="AS57" i="10"/>
  <c r="AS63" i="10" s="1"/>
  <c r="AU7" i="7" s="1"/>
  <c r="AU13" i="7" s="1"/>
  <c r="AS62" i="10"/>
  <c r="V35" i="8"/>
  <c r="W39" i="7"/>
  <c r="W7" i="8"/>
  <c r="X6" i="7"/>
  <c r="W19" i="11"/>
  <c r="V14" i="8"/>
  <c r="W16" i="7"/>
  <c r="W18" i="7" s="1"/>
  <c r="AT51" i="10"/>
  <c r="AT60" i="10" s="1"/>
  <c r="AT7" i="9" s="1"/>
  <c r="AT55" i="10"/>
  <c r="X10" i="11"/>
  <c r="AU49" i="10"/>
  <c r="AU65" i="10" s="1"/>
  <c r="AV9" i="8" s="1"/>
  <c r="AG9" i="9" l="1"/>
  <c r="AG10" i="9" s="1"/>
  <c r="AT40" i="10"/>
  <c r="AT41" i="10" s="1"/>
  <c r="AS42" i="10"/>
  <c r="AT52" i="10"/>
  <c r="AT53" i="10" s="1"/>
  <c r="AV27" i="8"/>
  <c r="AT26" i="10"/>
  <c r="AT27" i="10" s="1"/>
  <c r="AT28" i="10" s="1"/>
  <c r="AU31" i="7"/>
  <c r="AT32" i="8" s="1"/>
  <c r="X15" i="7"/>
  <c r="W17" i="8" s="1"/>
  <c r="W20" i="11"/>
  <c r="AW26" i="8"/>
  <c r="AX26" i="7"/>
  <c r="AV7" i="11"/>
  <c r="AU16" i="11"/>
  <c r="AV33" i="7" s="1"/>
  <c r="AU34" i="8" s="1"/>
  <c r="AY9" i="11"/>
  <c r="AX18" i="11"/>
  <c r="AY25" i="7" s="1"/>
  <c r="AV5" i="11"/>
  <c r="AV36" i="7"/>
  <c r="AU37" i="8" s="1"/>
  <c r="AU14" i="11"/>
  <c r="AT10" i="5"/>
  <c r="AT12" i="5" s="1"/>
  <c r="AT8" i="8"/>
  <c r="AT15" i="8" s="1"/>
  <c r="AW23" i="5"/>
  <c r="V40" i="8"/>
  <c r="AT57" i="10"/>
  <c r="AT63" i="10" s="1"/>
  <c r="AV7" i="7" s="1"/>
  <c r="AU8" i="8" s="1"/>
  <c r="AU15" i="8" s="1"/>
  <c r="AT62" i="10"/>
  <c r="Y14" i="7"/>
  <c r="X16" i="8" s="1"/>
  <c r="X34" i="7"/>
  <c r="W49" i="8"/>
  <c r="W19" i="7"/>
  <c r="W28" i="7"/>
  <c r="W41" i="7" s="1"/>
  <c r="X12" i="7"/>
  <c r="X9" i="7"/>
  <c r="AU51" i="10"/>
  <c r="AU60" i="10" s="1"/>
  <c r="AU7" i="9" s="1"/>
  <c r="AU55" i="10"/>
  <c r="AV49" i="10"/>
  <c r="AV65" i="10" s="1"/>
  <c r="AW9" i="8" s="1"/>
  <c r="AH6" i="9" l="1"/>
  <c r="AG13" i="9"/>
  <c r="AT42" i="10"/>
  <c r="AU40" i="10"/>
  <c r="AU41" i="10" s="1"/>
  <c r="AU52" i="10"/>
  <c r="AU53" i="10" s="1"/>
  <c r="AW27" i="8"/>
  <c r="AU26" i="10"/>
  <c r="AU27" i="10" s="1"/>
  <c r="AU28" i="10" s="1"/>
  <c r="Y43" i="7"/>
  <c r="X11" i="11"/>
  <c r="AV31" i="7"/>
  <c r="AU32" i="8" s="1"/>
  <c r="AW5" i="11"/>
  <c r="AW36" i="7"/>
  <c r="AV37" i="8" s="1"/>
  <c r="AV14" i="11"/>
  <c r="AX26" i="8"/>
  <c r="AY26" i="7"/>
  <c r="AW7" i="11"/>
  <c r="AV16" i="11"/>
  <c r="AW33" i="7" s="1"/>
  <c r="AV34" i="8" s="1"/>
  <c r="AZ9" i="11"/>
  <c r="AY18" i="11"/>
  <c r="AZ25" i="7" s="1"/>
  <c r="AU10" i="5"/>
  <c r="AU12" i="5" s="1"/>
  <c r="AV13" i="7"/>
  <c r="AX23" i="5"/>
  <c r="F23" i="13" s="1"/>
  <c r="AU57" i="10"/>
  <c r="AU63" i="10" s="1"/>
  <c r="AW7" i="7" s="1"/>
  <c r="AV8" i="8" s="1"/>
  <c r="AU62" i="10"/>
  <c r="W14" i="8"/>
  <c r="X16" i="7"/>
  <c r="X18" i="7" s="1"/>
  <c r="W35" i="8"/>
  <c r="X39" i="7"/>
  <c r="X7" i="8"/>
  <c r="Y6" i="7"/>
  <c r="X19" i="11"/>
  <c r="AV51" i="10"/>
  <c r="AV60" i="10" s="1"/>
  <c r="AV7" i="9" s="1"/>
  <c r="AV55" i="10"/>
  <c r="Y10" i="11"/>
  <c r="AW49" i="10"/>
  <c r="AW65" i="10" s="1"/>
  <c r="AX9" i="8" s="1"/>
  <c r="AH9" i="9" l="1"/>
  <c r="AH10" i="9" s="1"/>
  <c r="AV40" i="10"/>
  <c r="AV41" i="10" s="1"/>
  <c r="AU42" i="10"/>
  <c r="AV52" i="10"/>
  <c r="AV53" i="10" s="1"/>
  <c r="AX27" i="8"/>
  <c r="AV26" i="10"/>
  <c r="AV27" i="10" s="1"/>
  <c r="AV28" i="10" s="1"/>
  <c r="Y15" i="7"/>
  <c r="X17" i="8" s="1"/>
  <c r="X20" i="11"/>
  <c r="AW31" i="7"/>
  <c r="AV32" i="8" s="1"/>
  <c r="AY26" i="8"/>
  <c r="AZ26" i="7"/>
  <c r="BA9" i="11"/>
  <c r="AZ18" i="11"/>
  <c r="BA25" i="7" s="1"/>
  <c r="AX7" i="11"/>
  <c r="AW16" i="11"/>
  <c r="AX33" i="7" s="1"/>
  <c r="AW34" i="8" s="1"/>
  <c r="AX5" i="11"/>
  <c r="AX36" i="7"/>
  <c r="AW37" i="8" s="1"/>
  <c r="AW14" i="11"/>
  <c r="AV10" i="5"/>
  <c r="AV12" i="5" s="1"/>
  <c r="AW13" i="7"/>
  <c r="AY23" i="5"/>
  <c r="W40" i="8"/>
  <c r="AV57" i="10"/>
  <c r="AV63" i="10" s="1"/>
  <c r="AX7" i="7" s="1"/>
  <c r="AW8" i="8" s="1"/>
  <c r="AW15" i="8" s="1"/>
  <c r="AV62" i="10"/>
  <c r="Y34" i="7"/>
  <c r="X49" i="8"/>
  <c r="AV15" i="8"/>
  <c r="Z14" i="7"/>
  <c r="Y16" i="8" s="1"/>
  <c r="Y12" i="7"/>
  <c r="Y9" i="7"/>
  <c r="X19" i="7"/>
  <c r="X28" i="7"/>
  <c r="X41" i="7" s="1"/>
  <c r="AW51" i="10"/>
  <c r="AW60" i="10" s="1"/>
  <c r="AW7" i="9" s="1"/>
  <c r="AW55" i="10"/>
  <c r="AX49" i="10"/>
  <c r="AX65" i="10" s="1"/>
  <c r="AY9" i="8" s="1"/>
  <c r="G9" i="6" s="1"/>
  <c r="AI6" i="9" l="1"/>
  <c r="AH13" i="9"/>
  <c r="AW40" i="10"/>
  <c r="AW41" i="10" s="1"/>
  <c r="AV42" i="10"/>
  <c r="AW52" i="10"/>
  <c r="AW53" i="10" s="1"/>
  <c r="AW26" i="10"/>
  <c r="AW27" i="10" s="1"/>
  <c r="AW28" i="10" s="1"/>
  <c r="Z43" i="7"/>
  <c r="Y11" i="11"/>
  <c r="AX31" i="7"/>
  <c r="AW32" i="8" s="1"/>
  <c r="AY5" i="11"/>
  <c r="AY36" i="7"/>
  <c r="AX37" i="8" s="1"/>
  <c r="AX14" i="11"/>
  <c r="AY7" i="11"/>
  <c r="AX16" i="11"/>
  <c r="AY33" i="7" s="1"/>
  <c r="AX34" i="8" s="1"/>
  <c r="BB9" i="11"/>
  <c r="BA18" i="11"/>
  <c r="BB25" i="7" s="1"/>
  <c r="AZ26" i="8"/>
  <c r="BA26" i="7"/>
  <c r="AY27" i="8"/>
  <c r="G27" i="6" s="1"/>
  <c r="G26" i="6"/>
  <c r="AW10" i="5"/>
  <c r="AW12" i="5" s="1"/>
  <c r="AX13" i="7"/>
  <c r="AZ23" i="5"/>
  <c r="AW57" i="10"/>
  <c r="AW63" i="10" s="1"/>
  <c r="AY7" i="7" s="1"/>
  <c r="AY13" i="7" s="1"/>
  <c r="AW62" i="10"/>
  <c r="X35" i="8"/>
  <c r="Y39" i="7"/>
  <c r="Y7" i="8"/>
  <c r="Z6" i="7"/>
  <c r="X14" i="8"/>
  <c r="Y16" i="7"/>
  <c r="Y18" i="7" s="1"/>
  <c r="Y19" i="11"/>
  <c r="AX51" i="10"/>
  <c r="AX60" i="10" s="1"/>
  <c r="AX7" i="9" s="1"/>
  <c r="AX55" i="10"/>
  <c r="Z10" i="11"/>
  <c r="AY49" i="10"/>
  <c r="AY65" i="10" s="1"/>
  <c r="AZ9" i="8" s="1"/>
  <c r="AI9" i="9" l="1"/>
  <c r="AI10" i="9" s="1"/>
  <c r="AX40" i="10"/>
  <c r="AX41" i="10" s="1"/>
  <c r="AW42" i="10"/>
  <c r="AX52" i="10"/>
  <c r="AX53" i="10" s="1"/>
  <c r="AX26" i="10"/>
  <c r="AX27" i="10" s="1"/>
  <c r="AX28" i="10" s="1"/>
  <c r="AY31" i="7"/>
  <c r="AX32" i="8" s="1"/>
  <c r="Z15" i="7"/>
  <c r="Y17" i="8" s="1"/>
  <c r="Y20" i="11"/>
  <c r="AZ27" i="8"/>
  <c r="BC9" i="11"/>
  <c r="BB18" i="11"/>
  <c r="BC25" i="7" s="1"/>
  <c r="BA26" i="8"/>
  <c r="BB26" i="7"/>
  <c r="AZ7" i="11"/>
  <c r="AY16" i="11"/>
  <c r="AZ33" i="7" s="1"/>
  <c r="AY34" i="8" s="1"/>
  <c r="G34" i="6" s="1"/>
  <c r="AZ5" i="11"/>
  <c r="AZ36" i="7"/>
  <c r="AY37" i="8" s="1"/>
  <c r="G37" i="6" s="1"/>
  <c r="AY14" i="11"/>
  <c r="AX10" i="5"/>
  <c r="AX12" i="5" s="1"/>
  <c r="BA23" i="5"/>
  <c r="X40" i="8"/>
  <c r="AX8" i="8"/>
  <c r="AX15" i="8" s="1"/>
  <c r="AX57" i="10"/>
  <c r="AX63" i="10" s="1"/>
  <c r="AZ7" i="7" s="1"/>
  <c r="AY8" i="8" s="1"/>
  <c r="AX62" i="10"/>
  <c r="Y28" i="7"/>
  <c r="Y41" i="7" s="1"/>
  <c r="Y19" i="7"/>
  <c r="Z12" i="7"/>
  <c r="Y14" i="8" s="1"/>
  <c r="Z9" i="7"/>
  <c r="AA14" i="7"/>
  <c r="Z16" i="8" s="1"/>
  <c r="Y49" i="8"/>
  <c r="Z34" i="7"/>
  <c r="AY51" i="10"/>
  <c r="AY60" i="10" s="1"/>
  <c r="AY7" i="9" s="1"/>
  <c r="AY55" i="10"/>
  <c r="AZ49" i="10"/>
  <c r="AZ65" i="10" s="1"/>
  <c r="BA9" i="8" s="1"/>
  <c r="AJ6" i="9" l="1"/>
  <c r="AI13" i="9"/>
  <c r="AY40" i="10"/>
  <c r="AY41" i="10" s="1"/>
  <c r="AX42" i="10"/>
  <c r="AY52" i="10"/>
  <c r="AY53" i="10" s="1"/>
  <c r="BA27" i="8"/>
  <c r="AY26" i="10"/>
  <c r="AY27" i="10" s="1"/>
  <c r="AY28" i="10" s="1"/>
  <c r="AA43" i="7"/>
  <c r="Z11" i="11"/>
  <c r="AZ31" i="7"/>
  <c r="AY32" i="8" s="1"/>
  <c r="G32" i="6" s="1"/>
  <c r="BA5" i="11"/>
  <c r="AZ14" i="11"/>
  <c r="BA36" i="7"/>
  <c r="AZ37" i="8" s="1"/>
  <c r="BA7" i="11"/>
  <c r="AZ16" i="11"/>
  <c r="BA33" i="7" s="1"/>
  <c r="AZ34" i="8" s="1"/>
  <c r="BB26" i="8"/>
  <c r="BC26" i="7"/>
  <c r="BD9" i="11"/>
  <c r="BC18" i="11"/>
  <c r="BD25" i="7" s="1"/>
  <c r="AY10" i="5"/>
  <c r="AY12" i="5" s="1"/>
  <c r="F10" i="13"/>
  <c r="AZ13" i="7"/>
  <c r="BB23" i="5"/>
  <c r="AY57" i="10"/>
  <c r="AY63" i="10" s="1"/>
  <c r="BA7" i="7" s="1"/>
  <c r="BA13" i="7" s="1"/>
  <c r="AY62" i="10"/>
  <c r="Z16" i="7"/>
  <c r="Z18" i="7" s="1"/>
  <c r="Z19" i="11"/>
  <c r="Z7" i="8"/>
  <c r="AA6" i="7"/>
  <c r="AY15" i="8"/>
  <c r="G15" i="6" s="1"/>
  <c r="G8" i="6"/>
  <c r="Y35" i="8"/>
  <c r="Z39" i="7"/>
  <c r="AZ51" i="10"/>
  <c r="AZ60" i="10" s="1"/>
  <c r="AZ7" i="9" s="1"/>
  <c r="AZ55" i="10"/>
  <c r="AA10" i="11"/>
  <c r="BA49" i="10"/>
  <c r="BA65" i="10" s="1"/>
  <c r="BB9" i="8" s="1"/>
  <c r="AJ9" i="9" l="1"/>
  <c r="AJ10" i="9" s="1"/>
  <c r="AY42" i="10"/>
  <c r="AZ40" i="10"/>
  <c r="AZ41" i="10" s="1"/>
  <c r="AZ52" i="10"/>
  <c r="AZ53" i="10" s="1"/>
  <c r="BB27" i="8"/>
  <c r="AZ26" i="10"/>
  <c r="AZ27" i="10" s="1"/>
  <c r="AZ28" i="10" s="1"/>
  <c r="BA31" i="7"/>
  <c r="AZ32" i="8" s="1"/>
  <c r="AA15" i="7"/>
  <c r="Z17" i="8" s="1"/>
  <c r="Z20" i="11"/>
  <c r="BE9" i="11"/>
  <c r="BD18" i="11"/>
  <c r="BE25" i="7" s="1"/>
  <c r="BC26" i="8"/>
  <c r="BD26" i="7"/>
  <c r="BB7" i="11"/>
  <c r="BA16" i="11"/>
  <c r="BB33" i="7" s="1"/>
  <c r="BA34" i="8" s="1"/>
  <c r="BB5" i="11"/>
  <c r="BA14" i="11"/>
  <c r="BB36" i="7"/>
  <c r="BA37" i="8" s="1"/>
  <c r="AZ10" i="5"/>
  <c r="AZ12" i="5" s="1"/>
  <c r="BC23" i="5"/>
  <c r="Y40" i="8"/>
  <c r="AZ8" i="8"/>
  <c r="AZ15" i="8" s="1"/>
  <c r="AZ57" i="10"/>
  <c r="AZ63" i="10" s="1"/>
  <c r="BB7" i="7" s="1"/>
  <c r="BA8" i="8" s="1"/>
  <c r="BA15" i="8" s="1"/>
  <c r="AZ62" i="10"/>
  <c r="AB14" i="7"/>
  <c r="AA16" i="8" s="1"/>
  <c r="E16" i="6" s="1"/>
  <c r="Z19" i="7"/>
  <c r="Z28" i="7"/>
  <c r="Z41" i="7" s="1"/>
  <c r="AA12" i="7"/>
  <c r="AA9" i="7"/>
  <c r="Z49" i="8"/>
  <c r="AA34" i="7"/>
  <c r="BA51" i="10"/>
  <c r="BA60" i="10" s="1"/>
  <c r="BA7" i="9" s="1"/>
  <c r="BA55" i="10"/>
  <c r="BB49" i="10"/>
  <c r="BB65" i="10" s="1"/>
  <c r="BC9" i="8" s="1"/>
  <c r="AK6" i="9" l="1"/>
  <c r="AJ13" i="9"/>
  <c r="BA40" i="10"/>
  <c r="BA41" i="10" s="1"/>
  <c r="AZ42" i="10"/>
  <c r="BA52" i="10"/>
  <c r="BA53" i="10" s="1"/>
  <c r="BC27" i="8"/>
  <c r="BA26" i="10"/>
  <c r="BA27" i="10" s="1"/>
  <c r="BA28" i="10" s="1"/>
  <c r="AB43" i="7"/>
  <c r="AA11" i="11"/>
  <c r="BB31" i="7"/>
  <c r="BA32" i="8" s="1"/>
  <c r="BC5" i="11"/>
  <c r="BB14" i="11"/>
  <c r="BC36" i="7"/>
  <c r="BB37" i="8" s="1"/>
  <c r="BC7" i="11"/>
  <c r="BB16" i="11"/>
  <c r="BC33" i="7" s="1"/>
  <c r="BB34" i="8" s="1"/>
  <c r="BD26" i="8"/>
  <c r="BE26" i="7"/>
  <c r="BF9" i="11"/>
  <c r="BE18" i="11"/>
  <c r="BF25" i="7" s="1"/>
  <c r="BA10" i="5"/>
  <c r="BA12" i="5" s="1"/>
  <c r="BB13" i="7"/>
  <c r="BD23" i="5"/>
  <c r="BA57" i="10"/>
  <c r="BA63" i="10" s="1"/>
  <c r="BC7" i="7" s="1"/>
  <c r="BB8" i="8" s="1"/>
  <c r="BA62" i="10"/>
  <c r="AA19" i="11"/>
  <c r="Z35" i="8"/>
  <c r="AA39" i="7"/>
  <c r="Z14" i="8"/>
  <c r="AA16" i="7"/>
  <c r="AA18" i="7" s="1"/>
  <c r="AA7" i="8"/>
  <c r="AB6" i="7"/>
  <c r="BB51" i="10"/>
  <c r="BB60" i="10" s="1"/>
  <c r="BB7" i="9" s="1"/>
  <c r="BB55" i="10"/>
  <c r="AB10" i="11"/>
  <c r="BC49" i="10"/>
  <c r="BC65" i="10" s="1"/>
  <c r="BD9" i="8" s="1"/>
  <c r="AK9" i="9" l="1"/>
  <c r="AK10" i="9" s="1"/>
  <c r="BA42" i="10"/>
  <c r="BB40" i="10"/>
  <c r="BB41" i="10" s="1"/>
  <c r="BB52" i="10"/>
  <c r="BB53" i="10" s="1"/>
  <c r="BD27" i="8"/>
  <c r="BB42" i="10"/>
  <c r="BB26" i="10"/>
  <c r="BB27" i="10" s="1"/>
  <c r="BB28" i="10" s="1"/>
  <c r="BC31" i="7"/>
  <c r="BB32" i="8" s="1"/>
  <c r="AB15" i="7"/>
  <c r="AA17" i="8" s="1"/>
  <c r="E17" i="6" s="1"/>
  <c r="AA20" i="11"/>
  <c r="BG9" i="11"/>
  <c r="BF18" i="11"/>
  <c r="BG25" i="7" s="1"/>
  <c r="BE26" i="8"/>
  <c r="BF26" i="7"/>
  <c r="BD7" i="11"/>
  <c r="BC16" i="11"/>
  <c r="BD33" i="7" s="1"/>
  <c r="BC34" i="8" s="1"/>
  <c r="BD5" i="11"/>
  <c r="BC14" i="11"/>
  <c r="BD36" i="7"/>
  <c r="BC37" i="8" s="1"/>
  <c r="BB10" i="5"/>
  <c r="BB12" i="5" s="1"/>
  <c r="BE23" i="5"/>
  <c r="Z40" i="8"/>
  <c r="BC13" i="7"/>
  <c r="BB57" i="10"/>
  <c r="BB63" i="10" s="1"/>
  <c r="BD7" i="7" s="1"/>
  <c r="BD13" i="7" s="1"/>
  <c r="BB62" i="10"/>
  <c r="AC14" i="7"/>
  <c r="AB16" i="8" s="1"/>
  <c r="BB15" i="8"/>
  <c r="E7" i="6"/>
  <c r="AA19" i="7"/>
  <c r="AA28" i="7"/>
  <c r="AA41" i="7" s="1"/>
  <c r="AB12" i="7"/>
  <c r="AB9" i="7"/>
  <c r="AB34" i="7"/>
  <c r="AA49" i="8"/>
  <c r="E49" i="6" s="1"/>
  <c r="BC51" i="10"/>
  <c r="BC60" i="10" s="1"/>
  <c r="BC7" i="9" s="1"/>
  <c r="BC55" i="10"/>
  <c r="BD49" i="10"/>
  <c r="BD65" i="10" s="1"/>
  <c r="BE9" i="8" s="1"/>
  <c r="AL6" i="9" l="1"/>
  <c r="AK13" i="9"/>
  <c r="BC40" i="10"/>
  <c r="BC41" i="10" s="1"/>
  <c r="BC52" i="10"/>
  <c r="BC53" i="10" s="1"/>
  <c r="BE27" i="8"/>
  <c r="BC26" i="10"/>
  <c r="BC27" i="10" s="1"/>
  <c r="BC28" i="10" s="1"/>
  <c r="AC43" i="7"/>
  <c r="AB11" i="11"/>
  <c r="BD31" i="7"/>
  <c r="BC32" i="8" s="1"/>
  <c r="BE7" i="11"/>
  <c r="BD16" i="11"/>
  <c r="BE33" i="7" s="1"/>
  <c r="BD34" i="8" s="1"/>
  <c r="BE5" i="11"/>
  <c r="BD14" i="11"/>
  <c r="BE36" i="7"/>
  <c r="BD37" i="8" s="1"/>
  <c r="BF26" i="8"/>
  <c r="BG26" i="7"/>
  <c r="BH9" i="11"/>
  <c r="BG18" i="11"/>
  <c r="BH25" i="7" s="1"/>
  <c r="BC10" i="5"/>
  <c r="BC12" i="5" s="1"/>
  <c r="BF23" i="5"/>
  <c r="BC8" i="8"/>
  <c r="BC15" i="8" s="1"/>
  <c r="BC57" i="10"/>
  <c r="BC63" i="10" s="1"/>
  <c r="BE7" i="7" s="1"/>
  <c r="BE13" i="7" s="1"/>
  <c r="BC62" i="10"/>
  <c r="AA14" i="8"/>
  <c r="AB16" i="7"/>
  <c r="AB18" i="7" s="1"/>
  <c r="AB19" i="11"/>
  <c r="AB7" i="8"/>
  <c r="AC6" i="7"/>
  <c r="AA35" i="8"/>
  <c r="AB39" i="7"/>
  <c r="BD51" i="10"/>
  <c r="BD60" i="10" s="1"/>
  <c r="BD7" i="9" s="1"/>
  <c r="BD55" i="10"/>
  <c r="AC10" i="11"/>
  <c r="BE49" i="10"/>
  <c r="BE65" i="10" s="1"/>
  <c r="BF9" i="8" s="1"/>
  <c r="BC42" i="10" l="1"/>
  <c r="AL9" i="9"/>
  <c r="AL10" i="9" s="1"/>
  <c r="BD40" i="10"/>
  <c r="BD41" i="10" s="1"/>
  <c r="BD52" i="10"/>
  <c r="BD53" i="10" s="1"/>
  <c r="BF27" i="8"/>
  <c r="BD26" i="10"/>
  <c r="BD27" i="10" s="1"/>
  <c r="BD28" i="10" s="1"/>
  <c r="AC15" i="7"/>
  <c r="AB17" i="8" s="1"/>
  <c r="AB20" i="11"/>
  <c r="BE31" i="7"/>
  <c r="BD32" i="8" s="1"/>
  <c r="BG26" i="8"/>
  <c r="BH26" i="7"/>
  <c r="BI9" i="11"/>
  <c r="BH18" i="11"/>
  <c r="BI25" i="7" s="1"/>
  <c r="BF5" i="11"/>
  <c r="BE14" i="11"/>
  <c r="BF36" i="7"/>
  <c r="BE37" i="8" s="1"/>
  <c r="BF7" i="11"/>
  <c r="BE16" i="11"/>
  <c r="BF33" i="7" s="1"/>
  <c r="BE34" i="8" s="1"/>
  <c r="BD10" i="5"/>
  <c r="BD12" i="5" s="1"/>
  <c r="BD8" i="8"/>
  <c r="BD15" i="8" s="1"/>
  <c r="BG23" i="5"/>
  <c r="BD57" i="10"/>
  <c r="BD63" i="10" s="1"/>
  <c r="BF7" i="7" s="1"/>
  <c r="BF13" i="7" s="1"/>
  <c r="BD62" i="10"/>
  <c r="AB19" i="7"/>
  <c r="AB28" i="7"/>
  <c r="AB41" i="7" s="1"/>
  <c r="AB10" i="8"/>
  <c r="AA31" i="5" s="1"/>
  <c r="AD14" i="7"/>
  <c r="AC16" i="8" s="1"/>
  <c r="AC34" i="7"/>
  <c r="AB49" i="8"/>
  <c r="AA40" i="8"/>
  <c r="E40" i="6" s="1"/>
  <c r="E35" i="6"/>
  <c r="AC12" i="7"/>
  <c r="AC9" i="7"/>
  <c r="E14" i="6"/>
  <c r="BE51" i="10"/>
  <c r="BE60" i="10" s="1"/>
  <c r="BE7" i="9" s="1"/>
  <c r="BE55" i="10"/>
  <c r="BF49" i="10"/>
  <c r="BF65" i="10" s="1"/>
  <c r="BG9" i="8" s="1"/>
  <c r="AM6" i="9" l="1"/>
  <c r="AL13" i="9"/>
  <c r="BD42" i="10"/>
  <c r="BE40" i="10"/>
  <c r="BE41" i="10" s="1"/>
  <c r="BE52" i="10"/>
  <c r="BE53" i="10" s="1"/>
  <c r="BG27" i="8"/>
  <c r="BE26" i="10"/>
  <c r="BE27" i="10" s="1"/>
  <c r="BE28" i="10" s="1"/>
  <c r="BF31" i="7"/>
  <c r="BE32" i="8" s="1"/>
  <c r="AD43" i="7"/>
  <c r="AC11" i="11"/>
  <c r="BG7" i="11"/>
  <c r="BF16" i="11"/>
  <c r="BG33" i="7" s="1"/>
  <c r="BF34" i="8" s="1"/>
  <c r="BH26" i="8"/>
  <c r="BI26" i="7"/>
  <c r="BJ9" i="11"/>
  <c r="BI18" i="11"/>
  <c r="BJ25" i="7" s="1"/>
  <c r="BG5" i="11"/>
  <c r="BF14" i="11"/>
  <c r="BG36" i="7"/>
  <c r="BF37" i="8" s="1"/>
  <c r="BE10" i="5"/>
  <c r="BE12" i="5" s="1"/>
  <c r="BE8" i="8"/>
  <c r="BE15" i="8" s="1"/>
  <c r="AA7" i="5"/>
  <c r="BH23" i="5"/>
  <c r="AA8" i="4"/>
  <c r="BE57" i="10"/>
  <c r="BE63" i="10" s="1"/>
  <c r="BG7" i="7" s="1"/>
  <c r="BG13" i="7" s="1"/>
  <c r="BE62" i="10"/>
  <c r="AC19" i="11"/>
  <c r="AB14" i="8"/>
  <c r="AC16" i="7"/>
  <c r="AC18" i="7" s="1"/>
  <c r="AC7" i="8"/>
  <c r="AD6" i="7"/>
  <c r="AB35" i="8"/>
  <c r="AC39" i="7"/>
  <c r="BF51" i="10"/>
  <c r="BF60" i="10" s="1"/>
  <c r="BF7" i="9" s="1"/>
  <c r="BF55" i="10"/>
  <c r="AD10" i="11"/>
  <c r="BG49" i="10"/>
  <c r="BG65" i="10" s="1"/>
  <c r="BH9" i="8" s="1"/>
  <c r="AM9" i="9" l="1"/>
  <c r="AM10" i="9" s="1"/>
  <c r="BE42" i="10"/>
  <c r="BF40" i="10"/>
  <c r="BF41" i="10" s="1"/>
  <c r="BF52" i="10"/>
  <c r="BF53" i="10" s="1"/>
  <c r="BH27" i="8"/>
  <c r="BF26" i="10"/>
  <c r="BF27" i="10" s="1"/>
  <c r="BF28" i="10" s="1"/>
  <c r="AD15" i="7"/>
  <c r="AC17" i="8" s="1"/>
  <c r="AC20" i="11"/>
  <c r="BG31" i="7"/>
  <c r="BF32" i="8" s="1"/>
  <c r="BI26" i="8"/>
  <c r="BJ26" i="7"/>
  <c r="BH5" i="11"/>
  <c r="BH36" i="7"/>
  <c r="BG37" i="8" s="1"/>
  <c r="BG14" i="11"/>
  <c r="BK9" i="11"/>
  <c r="BK18" i="11" s="1"/>
  <c r="BL25" i="7" s="1"/>
  <c r="BJ18" i="11"/>
  <c r="BK25" i="7" s="1"/>
  <c r="BH7" i="11"/>
  <c r="BG16" i="11"/>
  <c r="BH33" i="7" s="1"/>
  <c r="BG34" i="8" s="1"/>
  <c r="BF10" i="5"/>
  <c r="BF12" i="5" s="1"/>
  <c r="AA17" i="5"/>
  <c r="AA20" i="5" s="1"/>
  <c r="AA8" i="5"/>
  <c r="BI23" i="5"/>
  <c r="BF8" i="8"/>
  <c r="BF15" i="8" s="1"/>
  <c r="BF57" i="10"/>
  <c r="BF63" i="10" s="1"/>
  <c r="BH7" i="7" s="1"/>
  <c r="BH13" i="7" s="1"/>
  <c r="BF62" i="10"/>
  <c r="AC19" i="7"/>
  <c r="AC28" i="7"/>
  <c r="AC41" i="7" s="1"/>
  <c r="AC49" i="8"/>
  <c r="AD34" i="7"/>
  <c r="AD12" i="7"/>
  <c r="AC14" i="8" s="1"/>
  <c r="AD9" i="7"/>
  <c r="AB40" i="8"/>
  <c r="AC10" i="8"/>
  <c r="AB31" i="5" s="1"/>
  <c r="AE14" i="7"/>
  <c r="AD16" i="8" s="1"/>
  <c r="AB18" i="8"/>
  <c r="BG51" i="10"/>
  <c r="BG60" i="10" s="1"/>
  <c r="BG7" i="9" s="1"/>
  <c r="BG55" i="10"/>
  <c r="BH49" i="10"/>
  <c r="BH65" i="10" s="1"/>
  <c r="BI9" i="8" s="1"/>
  <c r="AM13" i="9" l="1"/>
  <c r="AN6" i="9"/>
  <c r="BF42" i="10"/>
  <c r="BG40" i="10"/>
  <c r="BG41" i="10" s="1"/>
  <c r="BG52" i="10"/>
  <c r="BG53" i="10" s="1"/>
  <c r="BI27" i="8"/>
  <c r="BG26" i="10"/>
  <c r="BG27" i="10" s="1"/>
  <c r="BG28" i="10" s="1"/>
  <c r="AB51" i="8"/>
  <c r="BH31" i="7"/>
  <c r="BG32" i="8" s="1"/>
  <c r="AE43" i="7"/>
  <c r="AD11" i="11"/>
  <c r="BI7" i="11"/>
  <c r="BH16" i="11"/>
  <c r="BI33" i="7" s="1"/>
  <c r="BH34" i="8" s="1"/>
  <c r="BK26" i="8"/>
  <c r="BL26" i="7"/>
  <c r="BJ26" i="8"/>
  <c r="BK26" i="7"/>
  <c r="BI5" i="11"/>
  <c r="BI36" i="7"/>
  <c r="BH37" i="8" s="1"/>
  <c r="BH14" i="11"/>
  <c r="BG10" i="5"/>
  <c r="BG12" i="5" s="1"/>
  <c r="AB7" i="5"/>
  <c r="BG8" i="8"/>
  <c r="BG15" i="8" s="1"/>
  <c r="AA13" i="4"/>
  <c r="AB8" i="5"/>
  <c r="AB15" i="4" s="1"/>
  <c r="BJ23" i="5"/>
  <c r="G23" i="13" s="1"/>
  <c r="AB8" i="4"/>
  <c r="AD16" i="7"/>
  <c r="AD18" i="7" s="1"/>
  <c r="BG57" i="10"/>
  <c r="BG63" i="10" s="1"/>
  <c r="BI7" i="7" s="1"/>
  <c r="BH8" i="8" s="1"/>
  <c r="BH15" i="8" s="1"/>
  <c r="BG62" i="10"/>
  <c r="AC18" i="8"/>
  <c r="AB20" i="8"/>
  <c r="AD19" i="11"/>
  <c r="AC35" i="8"/>
  <c r="AB17" i="5" s="1"/>
  <c r="AB20" i="5" s="1"/>
  <c r="AD39" i="7"/>
  <c r="AD7" i="8"/>
  <c r="AE6" i="7"/>
  <c r="BH51" i="10"/>
  <c r="BH60" i="10" s="1"/>
  <c r="BH7" i="9" s="1"/>
  <c r="BH55" i="10"/>
  <c r="AE10" i="11"/>
  <c r="BI49" i="10"/>
  <c r="BI65" i="10" s="1"/>
  <c r="BJ9" i="8" s="1"/>
  <c r="AN9" i="9" l="1"/>
  <c r="AN10" i="9" s="1"/>
  <c r="BG42" i="10"/>
  <c r="BH40" i="10"/>
  <c r="BH41" i="10" s="1"/>
  <c r="BH52" i="10"/>
  <c r="BH53" i="10" s="1"/>
  <c r="BJ27" i="8"/>
  <c r="BH26" i="10"/>
  <c r="BH27" i="10" s="1"/>
  <c r="BH28" i="10" s="1"/>
  <c r="AE15" i="7"/>
  <c r="AD17" i="8" s="1"/>
  <c r="AD20" i="11"/>
  <c r="BI31" i="7"/>
  <c r="BH32" i="8" s="1"/>
  <c r="BJ5" i="11"/>
  <c r="BJ36" i="7"/>
  <c r="BI37" i="8" s="1"/>
  <c r="BI14" i="11"/>
  <c r="BK27" i="8"/>
  <c r="H26" i="6"/>
  <c r="BJ7" i="11"/>
  <c r="BI16" i="11"/>
  <c r="BJ33" i="7" s="1"/>
  <c r="BI34" i="8" s="1"/>
  <c r="BH10" i="5"/>
  <c r="BH12" i="5" s="1"/>
  <c r="BI13" i="7"/>
  <c r="AB14" i="4"/>
  <c r="AC20" i="8"/>
  <c r="AC29" i="8" s="1"/>
  <c r="AB9" i="4"/>
  <c r="BH57" i="10"/>
  <c r="BH63" i="10" s="1"/>
  <c r="BJ7" i="7" s="1"/>
  <c r="BI8" i="8" s="1"/>
  <c r="BI15" i="8" s="1"/>
  <c r="BH62" i="10"/>
  <c r="AF14" i="7"/>
  <c r="AE16" i="8" s="1"/>
  <c r="AE12" i="7"/>
  <c r="AE9" i="7"/>
  <c r="AD10" i="8"/>
  <c r="AC31" i="5" s="1"/>
  <c r="AC40" i="8"/>
  <c r="AC51" i="8" s="1"/>
  <c r="AB29" i="8"/>
  <c r="AD49" i="8"/>
  <c r="AE34" i="7"/>
  <c r="AD19" i="7"/>
  <c r="AD28" i="7"/>
  <c r="AD41" i="7" s="1"/>
  <c r="BI51" i="10"/>
  <c r="BI60" i="10" s="1"/>
  <c r="BI7" i="9" s="1"/>
  <c r="BI55" i="10"/>
  <c r="BJ49" i="10"/>
  <c r="AN13" i="9" l="1"/>
  <c r="AO6" i="9"/>
  <c r="BH42" i="10"/>
  <c r="BI40" i="10"/>
  <c r="BI41" i="10" s="1"/>
  <c r="H27" i="6"/>
  <c r="BI52" i="10"/>
  <c r="BI53" i="10" s="1"/>
  <c r="BI26" i="10"/>
  <c r="BI27" i="10" s="1"/>
  <c r="BI28" i="10" s="1"/>
  <c r="BJ55" i="10"/>
  <c r="BJ62" i="10" s="1"/>
  <c r="BJ65" i="10"/>
  <c r="BK9" i="8" s="1"/>
  <c r="H9" i="6" s="1"/>
  <c r="BJ31" i="7"/>
  <c r="BI32" i="8" s="1"/>
  <c r="AF43" i="7"/>
  <c r="AE11" i="11"/>
  <c r="BK7" i="11"/>
  <c r="BK16" i="11" s="1"/>
  <c r="BL33" i="7" s="1"/>
  <c r="BK34" i="8" s="1"/>
  <c r="BJ16" i="11"/>
  <c r="BK33" i="7" s="1"/>
  <c r="BJ34" i="8" s="1"/>
  <c r="BK5" i="11"/>
  <c r="BK36" i="7"/>
  <c r="BJ37" i="8" s="1"/>
  <c r="BJ14" i="11"/>
  <c r="BI10" i="5"/>
  <c r="BI12" i="5" s="1"/>
  <c r="AC7" i="5"/>
  <c r="BJ13" i="7"/>
  <c r="AB10" i="4"/>
  <c r="AC42" i="8"/>
  <c r="AC8" i="4"/>
  <c r="AB13" i="4"/>
  <c r="BI57" i="10"/>
  <c r="BI63" i="10" s="1"/>
  <c r="BK7" i="7" s="1"/>
  <c r="BJ8" i="8" s="1"/>
  <c r="BJ15" i="8" s="1"/>
  <c r="BI62" i="10"/>
  <c r="AD14" i="8"/>
  <c r="AE16" i="7"/>
  <c r="AE18" i="7" s="1"/>
  <c r="AE19" i="11"/>
  <c r="AE7" i="8"/>
  <c r="AF6" i="7"/>
  <c r="AB42" i="8"/>
  <c r="AD35" i="8"/>
  <c r="AE39" i="7"/>
  <c r="AF10" i="11"/>
  <c r="BJ51" i="10"/>
  <c r="BJ60" i="10" s="1"/>
  <c r="BJ7" i="9" s="1"/>
  <c r="AO9" i="9" l="1"/>
  <c r="AO10" i="9" s="1"/>
  <c r="BI42" i="10"/>
  <c r="BJ40" i="10"/>
  <c r="BJ41" i="10" s="1"/>
  <c r="BJ52" i="10"/>
  <c r="BJ53" i="10" s="1"/>
  <c r="BJ57" i="10"/>
  <c r="BJ63" i="10" s="1"/>
  <c r="BL7" i="7" s="1"/>
  <c r="BK8" i="8" s="1"/>
  <c r="H8" i="6" s="1"/>
  <c r="BJ26" i="10"/>
  <c r="BJ27" i="10" s="1"/>
  <c r="BJ28" i="10" s="1"/>
  <c r="BK31" i="7"/>
  <c r="BJ32" i="8" s="1"/>
  <c r="AF15" i="7"/>
  <c r="AE17" i="8" s="1"/>
  <c r="AE20" i="11"/>
  <c r="H34" i="6"/>
  <c r="BL36" i="7"/>
  <c r="BK37" i="8" s="1"/>
  <c r="H37" i="6" s="1"/>
  <c r="BK14" i="11"/>
  <c r="BJ10" i="5"/>
  <c r="BJ12" i="5" s="1"/>
  <c r="AB18" i="4"/>
  <c r="AB20" i="4" s="1"/>
  <c r="AC17" i="5"/>
  <c r="AC20" i="5" s="1"/>
  <c r="AC8" i="5"/>
  <c r="AC15" i="4" s="1"/>
  <c r="BK13" i="7"/>
  <c r="AC9" i="4"/>
  <c r="AG14" i="7"/>
  <c r="AF16" i="8" s="1"/>
  <c r="AF34" i="7"/>
  <c r="AE49" i="8"/>
  <c r="AF12" i="7"/>
  <c r="AF9" i="7"/>
  <c r="AD40" i="8"/>
  <c r="AE10" i="8"/>
  <c r="AD31" i="5" s="1"/>
  <c r="AE19" i="7"/>
  <c r="AE28" i="7"/>
  <c r="AE41" i="7" s="1"/>
  <c r="AD18" i="8"/>
  <c r="AO13" i="9" l="1"/>
  <c r="AP6" i="9"/>
  <c r="BJ42" i="10"/>
  <c r="BK15" i="8"/>
  <c r="H15" i="6" s="1"/>
  <c r="BL13" i="7"/>
  <c r="AD51" i="8"/>
  <c r="BL31" i="7"/>
  <c r="BK32" i="8" s="1"/>
  <c r="H32" i="6" s="1"/>
  <c r="AG43" i="7"/>
  <c r="AF11" i="11"/>
  <c r="AC13" i="4"/>
  <c r="G10" i="13"/>
  <c r="AD7" i="5"/>
  <c r="AC10" i="4"/>
  <c r="AC14" i="4"/>
  <c r="AD8" i="4"/>
  <c r="AD20" i="8"/>
  <c r="AF7" i="8"/>
  <c r="AG6" i="7"/>
  <c r="AF19" i="11"/>
  <c r="AE14" i="8"/>
  <c r="AF16" i="7"/>
  <c r="AF18" i="7" s="1"/>
  <c r="AE35" i="8"/>
  <c r="AF39" i="7"/>
  <c r="AG10" i="11"/>
  <c r="AP9" i="9" l="1"/>
  <c r="AP10" i="9" s="1"/>
  <c r="AG15" i="7"/>
  <c r="AF17" i="8" s="1"/>
  <c r="AF20" i="11"/>
  <c r="AC18" i="4"/>
  <c r="AC20" i="4" s="1"/>
  <c r="AD17" i="5"/>
  <c r="AD20" i="5" s="1"/>
  <c r="AD8" i="5"/>
  <c r="AD15" i="4" s="1"/>
  <c r="AD9" i="4"/>
  <c r="AF19" i="7"/>
  <c r="AF28" i="7"/>
  <c r="AF41" i="7" s="1"/>
  <c r="AE18" i="8"/>
  <c r="AF10" i="8"/>
  <c r="AE31" i="5" s="1"/>
  <c r="AH14" i="7"/>
  <c r="AG16" i="8" s="1"/>
  <c r="AG34" i="7"/>
  <c r="AF49" i="8"/>
  <c r="AD29" i="8"/>
  <c r="AE40" i="8"/>
  <c r="AG12" i="7"/>
  <c r="AG9" i="7"/>
  <c r="AQ6" i="9" l="1"/>
  <c r="AP13" i="9"/>
  <c r="AE51" i="8"/>
  <c r="AH43" i="7"/>
  <c r="AG11" i="11"/>
  <c r="AE7" i="5"/>
  <c r="AD10" i="4"/>
  <c r="AE8" i="4"/>
  <c r="AD14" i="4"/>
  <c r="AD13" i="4"/>
  <c r="AG19" i="11"/>
  <c r="AF14" i="8"/>
  <c r="AG16" i="7"/>
  <c r="AG18" i="7" s="1"/>
  <c r="AD42" i="8"/>
  <c r="AE20" i="8"/>
  <c r="AG7" i="8"/>
  <c r="AG10" i="8" s="1"/>
  <c r="AF31" i="5" s="1"/>
  <c r="AH6" i="7"/>
  <c r="AF35" i="8"/>
  <c r="AG39" i="7"/>
  <c r="AH10" i="11"/>
  <c r="AQ9" i="9" l="1"/>
  <c r="AQ10" i="9" s="1"/>
  <c r="AH15" i="7"/>
  <c r="AG17" i="8" s="1"/>
  <c r="AG20" i="11"/>
  <c r="AF7" i="5"/>
  <c r="AF9" i="4" s="1"/>
  <c r="AE17" i="5"/>
  <c r="AE20" i="5" s="1"/>
  <c r="AE8" i="5"/>
  <c r="AE15" i="4" s="1"/>
  <c r="AF8" i="4"/>
  <c r="AD18" i="4"/>
  <c r="AE9" i="4"/>
  <c r="AG19" i="7"/>
  <c r="AG28" i="7"/>
  <c r="AG41" i="7" s="1"/>
  <c r="AF18" i="8"/>
  <c r="AI14" i="7"/>
  <c r="AH16" i="8" s="1"/>
  <c r="AH12" i="7"/>
  <c r="AG14" i="8" s="1"/>
  <c r="AH9" i="7"/>
  <c r="AG49" i="8"/>
  <c r="AH34" i="7"/>
  <c r="AF40" i="8"/>
  <c r="AE29" i="8"/>
  <c r="AR6" i="9" l="1"/>
  <c r="AQ13" i="9"/>
  <c r="AF51" i="8"/>
  <c r="AI43" i="7"/>
  <c r="AH11" i="11"/>
  <c r="AD20" i="4"/>
  <c r="AE10" i="4"/>
  <c r="AF8" i="5"/>
  <c r="AF15" i="4" s="1"/>
  <c r="AE14" i="4"/>
  <c r="AE13" i="4"/>
  <c r="AF10" i="4"/>
  <c r="AH19" i="11"/>
  <c r="AF20" i="8"/>
  <c r="AH7" i="8"/>
  <c r="AH10" i="8" s="1"/>
  <c r="AG31" i="5" s="1"/>
  <c r="AI6" i="7"/>
  <c r="AG35" i="8"/>
  <c r="AF17" i="5" s="1"/>
  <c r="AF20" i="5" s="1"/>
  <c r="AH39" i="7"/>
  <c r="AE42" i="8"/>
  <c r="AG18" i="8"/>
  <c r="AH16" i="7"/>
  <c r="AH18" i="7" s="1"/>
  <c r="AI10" i="11"/>
  <c r="AR9" i="9" l="1"/>
  <c r="AR10" i="9" s="1"/>
  <c r="AI15" i="7"/>
  <c r="AH17" i="8" s="1"/>
  <c r="AH20" i="11"/>
  <c r="AG7" i="5"/>
  <c r="AE18" i="4"/>
  <c r="AE20" i="4" s="1"/>
  <c r="AG40" i="8"/>
  <c r="AF13" i="4" s="1"/>
  <c r="AG20" i="8"/>
  <c r="AG29" i="8" s="1"/>
  <c r="AG8" i="4"/>
  <c r="AH19" i="7"/>
  <c r="AH28" i="7"/>
  <c r="AH41" i="7" s="1"/>
  <c r="AF29" i="8"/>
  <c r="AJ14" i="7"/>
  <c r="AI16" i="8" s="1"/>
  <c r="AI12" i="7"/>
  <c r="AI9" i="7"/>
  <c r="AH49" i="8"/>
  <c r="AI34" i="7"/>
  <c r="AS6" i="9" l="1"/>
  <c r="AR13" i="9"/>
  <c r="AG51" i="8"/>
  <c r="AJ43" i="7"/>
  <c r="AI11" i="11"/>
  <c r="AG42" i="8"/>
  <c r="AF14" i="4"/>
  <c r="AF18" i="4" s="1"/>
  <c r="AF20" i="4" s="1"/>
  <c r="AG9" i="4"/>
  <c r="AG10" i="4" s="1"/>
  <c r="AI7" i="8"/>
  <c r="AI10" i="8" s="1"/>
  <c r="AH31" i="5" s="1"/>
  <c r="AJ6" i="7"/>
  <c r="AF42" i="8"/>
  <c r="AI19" i="11"/>
  <c r="AH35" i="8"/>
  <c r="AI39" i="7"/>
  <c r="AH14" i="8"/>
  <c r="AG8" i="5" s="1"/>
  <c r="AI16" i="7"/>
  <c r="AI18" i="7" s="1"/>
  <c r="AJ10" i="11"/>
  <c r="AS9" i="9" l="1"/>
  <c r="AS10" i="9" s="1"/>
  <c r="AJ15" i="7"/>
  <c r="AI17" i="8" s="1"/>
  <c r="AI20" i="11"/>
  <c r="AH7" i="5"/>
  <c r="AG17" i="5"/>
  <c r="AG20" i="5" s="1"/>
  <c r="AH40" i="8"/>
  <c r="AH8" i="4"/>
  <c r="AH18" i="8"/>
  <c r="AJ12" i="7"/>
  <c r="AJ9" i="7"/>
  <c r="AK14" i="7"/>
  <c r="AJ16" i="8" s="1"/>
  <c r="AI19" i="7"/>
  <c r="AI28" i="7"/>
  <c r="AI41" i="7" s="1"/>
  <c r="AJ34" i="7"/>
  <c r="AI49" i="8"/>
  <c r="AT6" i="9" l="1"/>
  <c r="AS13" i="9"/>
  <c r="AH51" i="8"/>
  <c r="AK43" i="7"/>
  <c r="AJ11" i="11"/>
  <c r="AG15" i="4"/>
  <c r="AG14" i="4"/>
  <c r="AH9" i="4"/>
  <c r="AH10" i="4" s="1"/>
  <c r="AH20" i="8"/>
  <c r="AH29" i="8" s="1"/>
  <c r="AH42" i="8" s="1"/>
  <c r="AG13" i="4"/>
  <c r="AJ19" i="11"/>
  <c r="AJ7" i="8"/>
  <c r="AJ10" i="8" s="1"/>
  <c r="AI31" i="5" s="1"/>
  <c r="AK6" i="7"/>
  <c r="AI35" i="8"/>
  <c r="AJ39" i="7"/>
  <c r="AI14" i="8"/>
  <c r="AH8" i="5" s="1"/>
  <c r="AJ16" i="7"/>
  <c r="AJ18" i="7" s="1"/>
  <c r="AK10" i="11"/>
  <c r="AT9" i="9" l="1"/>
  <c r="AT10" i="9" s="1"/>
  <c r="AK15" i="7"/>
  <c r="AJ17" i="8" s="1"/>
  <c r="AJ20" i="11"/>
  <c r="AI7" i="5"/>
  <c r="AH17" i="5"/>
  <c r="AH20" i="5" s="1"/>
  <c r="AI8" i="4"/>
  <c r="AG18" i="4"/>
  <c r="AG20" i="4" s="1"/>
  <c r="AI18" i="8"/>
  <c r="AH15" i="4"/>
  <c r="AI40" i="8"/>
  <c r="AK34" i="7"/>
  <c r="AJ49" i="8"/>
  <c r="AL14" i="7"/>
  <c r="AK16" i="8" s="1"/>
  <c r="AK12" i="7"/>
  <c r="AK9" i="7"/>
  <c r="AJ19" i="7"/>
  <c r="AJ28" i="7"/>
  <c r="AJ41" i="7" s="1"/>
  <c r="AU6" i="9" l="1"/>
  <c r="AT13" i="9"/>
  <c r="AI51" i="8"/>
  <c r="AL43" i="7"/>
  <c r="AK11" i="11"/>
  <c r="AH14" i="4"/>
  <c r="AI20" i="8"/>
  <c r="AI29" i="8" s="1"/>
  <c r="AI42" i="8" s="1"/>
  <c r="AH13" i="4"/>
  <c r="AI9" i="4"/>
  <c r="AI10" i="4" s="1"/>
  <c r="AJ14" i="8"/>
  <c r="AI8" i="5" s="1"/>
  <c r="AK16" i="7"/>
  <c r="AK18" i="7" s="1"/>
  <c r="AK19" i="11"/>
  <c r="AK7" i="8"/>
  <c r="AK10" i="8" s="1"/>
  <c r="AJ31" i="5" s="1"/>
  <c r="AL6" i="7"/>
  <c r="AJ35" i="8"/>
  <c r="AK39" i="7"/>
  <c r="AL10" i="11"/>
  <c r="AU9" i="9" l="1"/>
  <c r="AU10" i="9" s="1"/>
  <c r="AL15" i="7"/>
  <c r="AK17" i="8" s="1"/>
  <c r="AK20" i="11"/>
  <c r="AJ7" i="5"/>
  <c r="AI17" i="5"/>
  <c r="AI20" i="5" s="1"/>
  <c r="AH18" i="4"/>
  <c r="AH20" i="4" s="1"/>
  <c r="AJ8" i="4"/>
  <c r="AJ18" i="8"/>
  <c r="AI15" i="4"/>
  <c r="AJ40" i="8"/>
  <c r="AK49" i="8"/>
  <c r="AL34" i="7"/>
  <c r="AM14" i="7"/>
  <c r="AL16" i="8" s="1"/>
  <c r="AL12" i="7"/>
  <c r="AK14" i="8" s="1"/>
  <c r="AJ8" i="5" s="1"/>
  <c r="AL9" i="7"/>
  <c r="AK19" i="7"/>
  <c r="AK28" i="7"/>
  <c r="AK41" i="7" s="1"/>
  <c r="AV6" i="9" l="1"/>
  <c r="AU13" i="9"/>
  <c r="AJ51" i="8"/>
  <c r="AM43" i="7"/>
  <c r="AL11" i="11"/>
  <c r="AI14" i="4"/>
  <c r="AJ20" i="8"/>
  <c r="AJ29" i="8" s="1"/>
  <c r="AJ42" i="8" s="1"/>
  <c r="AI13" i="4"/>
  <c r="AK18" i="8"/>
  <c r="AJ15" i="4"/>
  <c r="AJ9" i="4"/>
  <c r="AJ10" i="4" s="1"/>
  <c r="AK35" i="8"/>
  <c r="AJ17" i="5" s="1"/>
  <c r="AJ20" i="5" s="1"/>
  <c r="AL39" i="7"/>
  <c r="AL7" i="8"/>
  <c r="AL10" i="8" s="1"/>
  <c r="AK31" i="5" s="1"/>
  <c r="AM6" i="7"/>
  <c r="AL19" i="11"/>
  <c r="AL16" i="7"/>
  <c r="AL18" i="7" s="1"/>
  <c r="AM10" i="11"/>
  <c r="AV9" i="9" l="1"/>
  <c r="AV10" i="9" s="1"/>
  <c r="AM15" i="7"/>
  <c r="AL17" i="8" s="1"/>
  <c r="AL20" i="11"/>
  <c r="AK7" i="5"/>
  <c r="AI18" i="4"/>
  <c r="AI20" i="4" s="1"/>
  <c r="AK40" i="8"/>
  <c r="AJ13" i="4" s="1"/>
  <c r="AK20" i="8"/>
  <c r="AK29" i="8" s="1"/>
  <c r="AK8" i="4"/>
  <c r="AL28" i="7"/>
  <c r="AL41" i="7" s="1"/>
  <c r="AL19" i="7"/>
  <c r="AL49" i="8"/>
  <c r="AM34" i="7"/>
  <c r="AN14" i="7"/>
  <c r="AM16" i="8" s="1"/>
  <c r="F16" i="6" s="1"/>
  <c r="AM12" i="7"/>
  <c r="AM9" i="7"/>
  <c r="AW6" i="9" l="1"/>
  <c r="AV13" i="9"/>
  <c r="AK51" i="8"/>
  <c r="AN43" i="7"/>
  <c r="AM11" i="11"/>
  <c r="AK42" i="8"/>
  <c r="AJ14" i="4"/>
  <c r="AJ18" i="4" s="1"/>
  <c r="AJ20" i="4" s="1"/>
  <c r="AK9" i="4"/>
  <c r="AK10" i="4" s="1"/>
  <c r="AM7" i="8"/>
  <c r="AN6" i="7"/>
  <c r="AL14" i="8"/>
  <c r="AK8" i="5" s="1"/>
  <c r="AM16" i="7"/>
  <c r="AM18" i="7" s="1"/>
  <c r="AL35" i="8"/>
  <c r="AM39" i="7"/>
  <c r="AM19" i="11"/>
  <c r="AN10" i="11"/>
  <c r="AW9" i="9" l="1"/>
  <c r="AW10" i="9" s="1"/>
  <c r="AN15" i="7"/>
  <c r="AM17" i="8" s="1"/>
  <c r="F17" i="6" s="1"/>
  <c r="AM20" i="11"/>
  <c r="AK17" i="5"/>
  <c r="AK20" i="5" s="1"/>
  <c r="AL18" i="8"/>
  <c r="AL40" i="8"/>
  <c r="AM28" i="7"/>
  <c r="AM41" i="7" s="1"/>
  <c r="AM19" i="7"/>
  <c r="AO14" i="7"/>
  <c r="AN16" i="8" s="1"/>
  <c r="AN34" i="7"/>
  <c r="AM49" i="8"/>
  <c r="F49" i="6" s="1"/>
  <c r="AN12" i="7"/>
  <c r="AN9" i="7"/>
  <c r="AM10" i="8"/>
  <c r="AL31" i="5" s="1"/>
  <c r="F7" i="6"/>
  <c r="AX6" i="9" l="1"/>
  <c r="AW13" i="9"/>
  <c r="AL51" i="8"/>
  <c r="AO43" i="7"/>
  <c r="AN11" i="11"/>
  <c r="AL7" i="5"/>
  <c r="E7" i="13" s="1"/>
  <c r="AK14" i="4"/>
  <c r="AL8" i="4"/>
  <c r="E8" i="12" s="1"/>
  <c r="AK15" i="4"/>
  <c r="AL20" i="8"/>
  <c r="AL29" i="8" s="1"/>
  <c r="AL42" i="8" s="1"/>
  <c r="AK13" i="4"/>
  <c r="AM14" i="8"/>
  <c r="AN16" i="7"/>
  <c r="AN18" i="7" s="1"/>
  <c r="AN19" i="11"/>
  <c r="F10" i="6"/>
  <c r="AN7" i="8"/>
  <c r="AO6" i="7"/>
  <c r="AM35" i="8"/>
  <c r="AN39" i="7"/>
  <c r="AO10" i="11"/>
  <c r="AX9" i="9" l="1"/>
  <c r="AX10" i="9" s="1"/>
  <c r="AO15" i="7"/>
  <c r="AN17" i="8" s="1"/>
  <c r="AN20" i="11"/>
  <c r="AL17" i="5"/>
  <c r="AK18" i="4"/>
  <c r="AK20" i="4" s="1"/>
  <c r="AL8" i="5"/>
  <c r="AL9" i="4"/>
  <c r="AN10" i="8"/>
  <c r="AM31" i="5" s="1"/>
  <c r="AM40" i="8"/>
  <c r="F40" i="6" s="1"/>
  <c r="F35" i="6"/>
  <c r="AO34" i="7"/>
  <c r="AN49" i="8"/>
  <c r="AN19" i="7"/>
  <c r="AN28" i="7"/>
  <c r="AN41" i="7" s="1"/>
  <c r="AP14" i="7"/>
  <c r="AO16" i="8" s="1"/>
  <c r="AO12" i="7"/>
  <c r="AO9" i="7"/>
  <c r="AM18" i="8"/>
  <c r="F14" i="6"/>
  <c r="AY6" i="9" l="1"/>
  <c r="AX13" i="9"/>
  <c r="AM51" i="8"/>
  <c r="AP43" i="7"/>
  <c r="AO11" i="11"/>
  <c r="AL15" i="4"/>
  <c r="E8" i="13"/>
  <c r="AL20" i="5"/>
  <c r="E20" i="13" s="1"/>
  <c r="E17" i="13"/>
  <c r="AM7" i="5"/>
  <c r="AL14" i="4"/>
  <c r="AL10" i="4"/>
  <c r="AL13" i="4"/>
  <c r="E13" i="12" s="1"/>
  <c r="AM8" i="4"/>
  <c r="AN14" i="8"/>
  <c r="AO16" i="7"/>
  <c r="AO18" i="7" s="1"/>
  <c r="AO19" i="11"/>
  <c r="F18" i="6"/>
  <c r="AM20" i="8"/>
  <c r="AN35" i="8"/>
  <c r="AO39" i="7"/>
  <c r="AO7" i="8"/>
  <c r="AP6" i="7"/>
  <c r="AP10" i="11"/>
  <c r="AY9" i="9" l="1"/>
  <c r="AY10" i="9" s="1"/>
  <c r="AP15" i="7"/>
  <c r="AO17" i="8" s="1"/>
  <c r="AO20" i="11"/>
  <c r="AL18" i="4"/>
  <c r="AM17" i="5"/>
  <c r="AM20" i="5" s="1"/>
  <c r="AM8" i="5"/>
  <c r="AM15" i="4" s="1"/>
  <c r="AM9" i="4"/>
  <c r="AQ14" i="7"/>
  <c r="AP16" i="8" s="1"/>
  <c r="AO19" i="7"/>
  <c r="AO28" i="7"/>
  <c r="AO41" i="7" s="1"/>
  <c r="AN40" i="8"/>
  <c r="AO49" i="8"/>
  <c r="AP34" i="7"/>
  <c r="AP12" i="7"/>
  <c r="AO14" i="8" s="1"/>
  <c r="AP9" i="7"/>
  <c r="AM29" i="8"/>
  <c r="F20" i="6"/>
  <c r="AO10" i="8"/>
  <c r="AN31" i="5" s="1"/>
  <c r="AN18" i="8"/>
  <c r="AY13" i="9" l="1"/>
  <c r="AZ6" i="9"/>
  <c r="AN51" i="8"/>
  <c r="AQ43" i="7"/>
  <c r="AP11" i="11"/>
  <c r="AM13" i="4"/>
  <c r="AN7" i="5"/>
  <c r="AL20" i="4"/>
  <c r="AM10" i="4"/>
  <c r="AM14" i="4"/>
  <c r="AN8" i="5"/>
  <c r="AN15" i="4" s="1"/>
  <c r="AN8" i="4"/>
  <c r="AP16" i="7"/>
  <c r="AP18" i="7" s="1"/>
  <c r="AP19" i="7" s="1"/>
  <c r="AP7" i="8"/>
  <c r="AQ6" i="7"/>
  <c r="AN20" i="8"/>
  <c r="AO35" i="8"/>
  <c r="AN17" i="5" s="1"/>
  <c r="AN20" i="5" s="1"/>
  <c r="AP39" i="7"/>
  <c r="AM42" i="8"/>
  <c r="F42" i="6" s="1"/>
  <c r="F29" i="6"/>
  <c r="AP19" i="11"/>
  <c r="AO18" i="8"/>
  <c r="AQ10" i="11"/>
  <c r="AZ9" i="9" l="1"/>
  <c r="AZ10" i="9" s="1"/>
  <c r="AQ15" i="7"/>
  <c r="AP17" i="8" s="1"/>
  <c r="AP20" i="11"/>
  <c r="AM18" i="4"/>
  <c r="AM20" i="4" s="1"/>
  <c r="AN14" i="4"/>
  <c r="AN9" i="4"/>
  <c r="AP28" i="7"/>
  <c r="AP41" i="7" s="1"/>
  <c r="AR14" i="7"/>
  <c r="AQ16" i="8" s="1"/>
  <c r="AP49" i="8"/>
  <c r="AQ34" i="7"/>
  <c r="AO20" i="8"/>
  <c r="AO29" i="8" s="1"/>
  <c r="AO40" i="8"/>
  <c r="AN13" i="4" s="1"/>
  <c r="AP10" i="8"/>
  <c r="AO31" i="5" s="1"/>
  <c r="AN29" i="8"/>
  <c r="AQ12" i="7"/>
  <c r="AQ9" i="7"/>
  <c r="AZ13" i="9" l="1"/>
  <c r="BA6" i="9"/>
  <c r="AO51" i="8"/>
  <c r="AR43" i="7"/>
  <c r="AQ11" i="11"/>
  <c r="AO7" i="5"/>
  <c r="AN18" i="4"/>
  <c r="AN10" i="4"/>
  <c r="AO8" i="4"/>
  <c r="AO42" i="8"/>
  <c r="AQ7" i="8"/>
  <c r="AR6" i="7"/>
  <c r="AQ19" i="11"/>
  <c r="AP14" i="8"/>
  <c r="AO8" i="5" s="1"/>
  <c r="AQ16" i="7"/>
  <c r="AQ18" i="7" s="1"/>
  <c r="AP35" i="8"/>
  <c r="AQ39" i="7"/>
  <c r="AN42" i="8"/>
  <c r="AR10" i="11"/>
  <c r="BA9" i="9" l="1"/>
  <c r="BA10" i="9" s="1"/>
  <c r="AR15" i="7"/>
  <c r="AQ17" i="8" s="1"/>
  <c r="AQ20" i="11"/>
  <c r="AN20" i="4"/>
  <c r="AO17" i="5"/>
  <c r="AO20" i="5" s="1"/>
  <c r="AO15" i="4"/>
  <c r="AO9" i="4"/>
  <c r="AP18" i="8"/>
  <c r="AR12" i="7"/>
  <c r="AR9" i="7"/>
  <c r="AR34" i="7"/>
  <c r="AQ49" i="8"/>
  <c r="AP40" i="8"/>
  <c r="AQ19" i="7"/>
  <c r="AQ28" i="7"/>
  <c r="AQ41" i="7" s="1"/>
  <c r="AS14" i="7"/>
  <c r="AR16" i="8" s="1"/>
  <c r="AQ10" i="8"/>
  <c r="AP31" i="5" s="1"/>
  <c r="BA13" i="9" l="1"/>
  <c r="BB6" i="9"/>
  <c r="AP51" i="8"/>
  <c r="AS43" i="7"/>
  <c r="AR11" i="11"/>
  <c r="AP7" i="5"/>
  <c r="AO10" i="4"/>
  <c r="AO14" i="4"/>
  <c r="AO13" i="4"/>
  <c r="AP8" i="4"/>
  <c r="AR7" i="8"/>
  <c r="AS6" i="7"/>
  <c r="AR19" i="11"/>
  <c r="AQ14" i="8"/>
  <c r="AR16" i="7"/>
  <c r="AR18" i="7" s="1"/>
  <c r="AQ35" i="8"/>
  <c r="AR39" i="7"/>
  <c r="AP20" i="8"/>
  <c r="AS10" i="11"/>
  <c r="BB9" i="9" l="1"/>
  <c r="BB10" i="9" s="1"/>
  <c r="AS15" i="7"/>
  <c r="AR17" i="8" s="1"/>
  <c r="AR20" i="11"/>
  <c r="AP17" i="5"/>
  <c r="AP20" i="5" s="1"/>
  <c r="AO18" i="4"/>
  <c r="AP8" i="5"/>
  <c r="AP15" i="4" s="1"/>
  <c r="AP9" i="4"/>
  <c r="AR19" i="7"/>
  <c r="AR28" i="7"/>
  <c r="AR41" i="7" s="1"/>
  <c r="AS34" i="7"/>
  <c r="AR49" i="8"/>
  <c r="AT14" i="7"/>
  <c r="AS16" i="8" s="1"/>
  <c r="AS12" i="7"/>
  <c r="AS9" i="7"/>
  <c r="AQ40" i="8"/>
  <c r="AQ18" i="8"/>
  <c r="AP29" i="8"/>
  <c r="AR10" i="8"/>
  <c r="AQ31" i="5" s="1"/>
  <c r="BC6" i="9" l="1"/>
  <c r="BB13" i="9"/>
  <c r="AQ51" i="8"/>
  <c r="AT43" i="7"/>
  <c r="AS11" i="11"/>
  <c r="AQ7" i="5"/>
  <c r="AO20" i="4"/>
  <c r="AP14" i="4"/>
  <c r="AP10" i="4"/>
  <c r="AP13" i="4"/>
  <c r="AQ8" i="4"/>
  <c r="AR14" i="8"/>
  <c r="AQ8" i="5" s="1"/>
  <c r="AS16" i="7"/>
  <c r="AS18" i="7" s="1"/>
  <c r="AS19" i="11"/>
  <c r="AQ20" i="8"/>
  <c r="AR35" i="8"/>
  <c r="AS39" i="7"/>
  <c r="AS7" i="8"/>
  <c r="AS10" i="8" s="1"/>
  <c r="AR31" i="5" s="1"/>
  <c r="AT6" i="7"/>
  <c r="AP42" i="8"/>
  <c r="AT10" i="11"/>
  <c r="BC9" i="9" l="1"/>
  <c r="BC10" i="9" s="1"/>
  <c r="AT15" i="7"/>
  <c r="AS17" i="8" s="1"/>
  <c r="AS20" i="11"/>
  <c r="AR7" i="5"/>
  <c r="AR9" i="4" s="1"/>
  <c r="AP18" i="4"/>
  <c r="AP20" i="4" s="1"/>
  <c r="AQ17" i="5"/>
  <c r="AQ20" i="5" s="1"/>
  <c r="AR8" i="4"/>
  <c r="AR18" i="8"/>
  <c r="AQ15" i="4"/>
  <c r="AQ9" i="4"/>
  <c r="AS19" i="7"/>
  <c r="AS28" i="7"/>
  <c r="AS41" i="7" s="1"/>
  <c r="AS49" i="8"/>
  <c r="AT34" i="7"/>
  <c r="AU14" i="7"/>
  <c r="AT16" i="8" s="1"/>
  <c r="AQ29" i="8"/>
  <c r="AR40" i="8"/>
  <c r="AT12" i="7"/>
  <c r="AS14" i="8" s="1"/>
  <c r="AR8" i="5" s="1"/>
  <c r="AT9" i="7"/>
  <c r="BD6" i="9" l="1"/>
  <c r="BC13" i="9"/>
  <c r="AR51" i="8"/>
  <c r="AU43" i="7"/>
  <c r="AT11" i="11"/>
  <c r="AQ10" i="4"/>
  <c r="AQ14" i="4"/>
  <c r="AR10" i="4"/>
  <c r="AS18" i="8"/>
  <c r="AR15" i="4"/>
  <c r="AR20" i="8"/>
  <c r="AR29" i="8" s="1"/>
  <c r="AR42" i="8" s="1"/>
  <c r="AQ13" i="4"/>
  <c r="AT7" i="8"/>
  <c r="AT10" i="8" s="1"/>
  <c r="AS31" i="5" s="1"/>
  <c r="AU6" i="7"/>
  <c r="AT19" i="11"/>
  <c r="AT16" i="7"/>
  <c r="AT18" i="7" s="1"/>
  <c r="AQ42" i="8"/>
  <c r="AS35" i="8"/>
  <c r="AR17" i="5" s="1"/>
  <c r="AR20" i="5" s="1"/>
  <c r="AT39" i="7"/>
  <c r="AU10" i="11"/>
  <c r="BD9" i="9" l="1"/>
  <c r="BD10" i="9" s="1"/>
  <c r="AU15" i="7"/>
  <c r="AT17" i="8" s="1"/>
  <c r="AT20" i="11"/>
  <c r="AS7" i="5"/>
  <c r="AQ18" i="4"/>
  <c r="AQ20" i="4" s="1"/>
  <c r="AS8" i="4"/>
  <c r="AS40" i="8"/>
  <c r="AR13" i="4" s="1"/>
  <c r="AS20" i="8"/>
  <c r="AS29" i="8" s="1"/>
  <c r="AU12" i="7"/>
  <c r="AU9" i="7"/>
  <c r="AT28" i="7"/>
  <c r="AT41" i="7" s="1"/>
  <c r="AT19" i="7"/>
  <c r="AT49" i="8"/>
  <c r="AU34" i="7"/>
  <c r="AV14" i="7"/>
  <c r="AU16" i="8" s="1"/>
  <c r="BE6" i="9" l="1"/>
  <c r="BD13" i="9"/>
  <c r="AS51" i="8"/>
  <c r="AV43" i="7"/>
  <c r="AU11" i="11"/>
  <c r="AS42" i="8"/>
  <c r="AR14" i="4"/>
  <c r="AR18" i="4" s="1"/>
  <c r="AR20" i="4" s="1"/>
  <c r="AS9" i="4"/>
  <c r="AS10" i="4" s="1"/>
  <c r="AU7" i="8"/>
  <c r="AU10" i="8" s="1"/>
  <c r="AT31" i="5" s="1"/>
  <c r="AV6" i="7"/>
  <c r="AT35" i="8"/>
  <c r="AU39" i="7"/>
  <c r="AU19" i="11"/>
  <c r="AT14" i="8"/>
  <c r="AS8" i="5" s="1"/>
  <c r="AU16" i="7"/>
  <c r="AU18" i="7" s="1"/>
  <c r="AV10" i="11"/>
  <c r="BE9" i="9" l="1"/>
  <c r="BE10" i="9" s="1"/>
  <c r="AV15" i="7"/>
  <c r="AU17" i="8" s="1"/>
  <c r="AU20" i="11"/>
  <c r="AT7" i="5"/>
  <c r="AS17" i="5"/>
  <c r="AS20" i="5" s="1"/>
  <c r="AT40" i="8"/>
  <c r="AT18" i="8"/>
  <c r="AS15" i="4"/>
  <c r="AT8" i="4"/>
  <c r="AW14" i="7"/>
  <c r="AV16" i="8" s="1"/>
  <c r="AU19" i="7"/>
  <c r="AU28" i="7"/>
  <c r="AU41" i="7" s="1"/>
  <c r="AV12" i="7"/>
  <c r="AV9" i="7"/>
  <c r="AV34" i="7"/>
  <c r="AU49" i="8"/>
  <c r="BF6" i="9" l="1"/>
  <c r="BE13" i="9"/>
  <c r="AT51" i="8"/>
  <c r="AW43" i="7"/>
  <c r="AV11" i="11"/>
  <c r="AT20" i="8"/>
  <c r="AT29" i="8" s="1"/>
  <c r="AT42" i="8" s="1"/>
  <c r="AS13" i="4"/>
  <c r="AS14" i="4"/>
  <c r="AT9" i="4"/>
  <c r="AT10" i="4" s="1"/>
  <c r="AV7" i="8"/>
  <c r="AV10" i="8" s="1"/>
  <c r="AU31" i="5" s="1"/>
  <c r="AW6" i="7"/>
  <c r="AU14" i="8"/>
  <c r="AT8" i="5" s="1"/>
  <c r="AV16" i="7"/>
  <c r="AV18" i="7" s="1"/>
  <c r="AV19" i="11"/>
  <c r="AU35" i="8"/>
  <c r="AV39" i="7"/>
  <c r="AW10" i="11"/>
  <c r="BF9" i="9" l="1"/>
  <c r="BF10" i="9" s="1"/>
  <c r="AW15" i="7"/>
  <c r="AV17" i="8" s="1"/>
  <c r="AV20" i="11"/>
  <c r="AT17" i="5"/>
  <c r="AT20" i="5" s="1"/>
  <c r="AU7" i="5"/>
  <c r="AS18" i="4"/>
  <c r="AS20" i="4" s="1"/>
  <c r="AU8" i="4"/>
  <c r="AU40" i="8"/>
  <c r="AU18" i="8"/>
  <c r="AT15" i="4"/>
  <c r="AV19" i="7"/>
  <c r="AV28" i="7"/>
  <c r="AV41" i="7" s="1"/>
  <c r="AW34" i="7"/>
  <c r="AV49" i="8"/>
  <c r="AW12" i="7"/>
  <c r="AW9" i="7"/>
  <c r="AX14" i="7"/>
  <c r="AW16" i="8" s="1"/>
  <c r="BG6" i="9" l="1"/>
  <c r="BF13" i="9"/>
  <c r="AU51" i="8"/>
  <c r="AX43" i="7"/>
  <c r="AW11" i="11"/>
  <c r="AU20" i="8"/>
  <c r="AU29" i="8" s="1"/>
  <c r="AU42" i="8" s="1"/>
  <c r="AT13" i="4"/>
  <c r="AT14" i="4"/>
  <c r="AU9" i="4"/>
  <c r="AU10" i="4" s="1"/>
  <c r="AV35" i="8"/>
  <c r="AW39" i="7"/>
  <c r="AV14" i="8"/>
  <c r="AU8" i="5" s="1"/>
  <c r="AW16" i="7"/>
  <c r="AW18" i="7" s="1"/>
  <c r="AW7" i="8"/>
  <c r="AW10" i="8" s="1"/>
  <c r="AV31" i="5" s="1"/>
  <c r="AX6" i="7"/>
  <c r="AW19" i="11"/>
  <c r="AX10" i="11"/>
  <c r="BG9" i="9" l="1"/>
  <c r="BG10" i="9" s="1"/>
  <c r="AX15" i="7"/>
  <c r="AW17" i="8" s="1"/>
  <c r="AW20" i="11"/>
  <c r="AV7" i="5"/>
  <c r="AT18" i="4"/>
  <c r="AT20" i="4" s="1"/>
  <c r="AU17" i="5"/>
  <c r="AU20" i="5" s="1"/>
  <c r="AV8" i="4"/>
  <c r="AV40" i="8"/>
  <c r="AV18" i="8"/>
  <c r="AU15" i="4"/>
  <c r="AW19" i="7"/>
  <c r="AW28" i="7"/>
  <c r="AW41" i="7" s="1"/>
  <c r="AW49" i="8"/>
  <c r="AX34" i="7"/>
  <c r="AY14" i="7"/>
  <c r="AX16" i="8" s="1"/>
  <c r="AX12" i="7"/>
  <c r="AW14" i="8" s="1"/>
  <c r="AX9" i="7"/>
  <c r="BH6" i="9" l="1"/>
  <c r="BG13" i="9"/>
  <c r="AV51" i="8"/>
  <c r="AY43" i="7"/>
  <c r="AX11" i="11"/>
  <c r="AU14" i="4"/>
  <c r="AV8" i="5"/>
  <c r="AV15" i="4" s="1"/>
  <c r="AV20" i="8"/>
  <c r="AV29" i="8" s="1"/>
  <c r="AV42" i="8" s="1"/>
  <c r="AU13" i="4"/>
  <c r="AV9" i="4"/>
  <c r="AV10" i="4" s="1"/>
  <c r="AX19" i="11"/>
  <c r="AW35" i="8"/>
  <c r="AV17" i="5" s="1"/>
  <c r="AV20" i="5" s="1"/>
  <c r="AX39" i="7"/>
  <c r="AX7" i="8"/>
  <c r="AX10" i="8" s="1"/>
  <c r="AW31" i="5" s="1"/>
  <c r="AY6" i="7"/>
  <c r="AX16" i="7"/>
  <c r="AX18" i="7" s="1"/>
  <c r="AW18" i="8"/>
  <c r="AY10" i="11"/>
  <c r="BH9" i="9" l="1"/>
  <c r="BH10" i="9" s="1"/>
  <c r="AY15" i="7"/>
  <c r="AX17" i="8" s="1"/>
  <c r="AX20" i="11"/>
  <c r="AW7" i="5"/>
  <c r="AU18" i="4"/>
  <c r="AU20" i="4" s="1"/>
  <c r="AW40" i="8"/>
  <c r="AV13" i="4" s="1"/>
  <c r="AW8" i="4"/>
  <c r="AW20" i="8"/>
  <c r="AW29" i="8" s="1"/>
  <c r="AX19" i="7"/>
  <c r="AX28" i="7"/>
  <c r="AX41" i="7" s="1"/>
  <c r="AY12" i="7"/>
  <c r="AY9" i="7"/>
  <c r="AZ14" i="7"/>
  <c r="AY16" i="8" s="1"/>
  <c r="G16" i="6" s="1"/>
  <c r="AX49" i="8"/>
  <c r="AY34" i="7"/>
  <c r="BI6" i="9" l="1"/>
  <c r="BH13" i="9"/>
  <c r="AW51" i="8"/>
  <c r="AZ43" i="7"/>
  <c r="AY11" i="11"/>
  <c r="AW42" i="8"/>
  <c r="AW9" i="4"/>
  <c r="AW10" i="4" s="1"/>
  <c r="AV14" i="4"/>
  <c r="AV18" i="4" s="1"/>
  <c r="AV20" i="4" s="1"/>
  <c r="AX14" i="8"/>
  <c r="AW8" i="5" s="1"/>
  <c r="AY16" i="7"/>
  <c r="AY18" i="7" s="1"/>
  <c r="AY7" i="8"/>
  <c r="AZ6" i="7"/>
  <c r="AY19" i="11"/>
  <c r="AX35" i="8"/>
  <c r="AY39" i="7"/>
  <c r="AZ10" i="11"/>
  <c r="BI9" i="9" l="1"/>
  <c r="BI10" i="9" s="1"/>
  <c r="AZ15" i="7"/>
  <c r="AY17" i="8" s="1"/>
  <c r="G17" i="6" s="1"/>
  <c r="AY20" i="11"/>
  <c r="AW17" i="5"/>
  <c r="AW20" i="5" s="1"/>
  <c r="AX40" i="8"/>
  <c r="AX18" i="8"/>
  <c r="AZ12" i="7"/>
  <c r="AZ9" i="7"/>
  <c r="AY10" i="8"/>
  <c r="AX31" i="5" s="1"/>
  <c r="G7" i="6"/>
  <c r="AY19" i="7"/>
  <c r="AY28" i="7"/>
  <c r="AY41" i="7" s="1"/>
  <c r="BA14" i="7"/>
  <c r="AZ16" i="8" s="1"/>
  <c r="AZ34" i="7"/>
  <c r="AY49" i="8"/>
  <c r="G49" i="6" s="1"/>
  <c r="BJ6" i="9" l="1"/>
  <c r="BI13" i="9"/>
  <c r="AX51" i="8"/>
  <c r="BA43" i="7"/>
  <c r="AZ11" i="11"/>
  <c r="AX7" i="5"/>
  <c r="F7" i="13" s="1"/>
  <c r="AW15" i="4"/>
  <c r="AX8" i="4"/>
  <c r="F8" i="12" s="1"/>
  <c r="AX20" i="8"/>
  <c r="AX29" i="8" s="1"/>
  <c r="AX42" i="8" s="1"/>
  <c r="AW13" i="4"/>
  <c r="AW14" i="4"/>
  <c r="G10" i="6"/>
  <c r="AY35" i="8"/>
  <c r="AZ39" i="7"/>
  <c r="AZ7" i="8"/>
  <c r="BA6" i="7"/>
  <c r="AZ19" i="11"/>
  <c r="AY14" i="8"/>
  <c r="AZ16" i="7"/>
  <c r="AZ18" i="7" s="1"/>
  <c r="BA10" i="11"/>
  <c r="BJ9" i="9" l="1"/>
  <c r="BJ10" i="9"/>
  <c r="BJ13" i="9" s="1"/>
  <c r="BA15" i="7"/>
  <c r="AZ17" i="8" s="1"/>
  <c r="AZ20" i="11"/>
  <c r="AX17" i="5"/>
  <c r="AX8" i="5"/>
  <c r="AW18" i="4"/>
  <c r="AW20" i="4" s="1"/>
  <c r="AX9" i="4"/>
  <c r="AZ19" i="7"/>
  <c r="AZ28" i="7"/>
  <c r="AZ41" i="7" s="1"/>
  <c r="BB14" i="7"/>
  <c r="BA16" i="8" s="1"/>
  <c r="BA12" i="7"/>
  <c r="BA9" i="7"/>
  <c r="AY40" i="8"/>
  <c r="G40" i="6" s="1"/>
  <c r="G35" i="6"/>
  <c r="AZ10" i="8"/>
  <c r="AY31" i="5" s="1"/>
  <c r="AY18" i="8"/>
  <c r="G14" i="6"/>
  <c r="BA34" i="7"/>
  <c r="AZ49" i="8"/>
  <c r="AY51" i="8" l="1"/>
  <c r="BB43" i="7"/>
  <c r="BA11" i="11"/>
  <c r="AX15" i="4"/>
  <c r="F15" i="12" s="1"/>
  <c r="F8" i="13"/>
  <c r="AX20" i="5"/>
  <c r="F20" i="13" s="1"/>
  <c r="F17" i="13"/>
  <c r="AY7" i="5"/>
  <c r="AX10" i="4"/>
  <c r="F10" i="12" s="1"/>
  <c r="F9" i="12"/>
  <c r="AX13" i="4"/>
  <c r="F13" i="12" s="1"/>
  <c r="AX14" i="4"/>
  <c r="F14" i="12" s="1"/>
  <c r="AY8" i="4"/>
  <c r="BA19" i="11"/>
  <c r="G18" i="6"/>
  <c r="AY20" i="8"/>
  <c r="BA7" i="8"/>
  <c r="BB6" i="7"/>
  <c r="AZ35" i="8"/>
  <c r="BA39" i="7"/>
  <c r="AZ14" i="8"/>
  <c r="BA16" i="7"/>
  <c r="BA18" i="7" s="1"/>
  <c r="BB10" i="11"/>
  <c r="BB15" i="7" l="1"/>
  <c r="BA17" i="8" s="1"/>
  <c r="BA20" i="11"/>
  <c r="AY17" i="5"/>
  <c r="AY20" i="5" s="1"/>
  <c r="AY8" i="5"/>
  <c r="AY15" i="4" s="1"/>
  <c r="AX18" i="4"/>
  <c r="AY9" i="4"/>
  <c r="BA19" i="7"/>
  <c r="BA28" i="7"/>
  <c r="BA41" i="7" s="1"/>
  <c r="AZ40" i="8"/>
  <c r="BB12" i="7"/>
  <c r="BA14" i="8" s="1"/>
  <c r="BB9" i="7"/>
  <c r="AY29" i="8"/>
  <c r="G20" i="6"/>
  <c r="BC14" i="7"/>
  <c r="BB16" i="8" s="1"/>
  <c r="BA10" i="8"/>
  <c r="AZ31" i="5" s="1"/>
  <c r="AZ18" i="8"/>
  <c r="BA49" i="8"/>
  <c r="BB34" i="7"/>
  <c r="AZ51" i="8" l="1"/>
  <c r="BC43" i="7"/>
  <c r="BB11" i="11"/>
  <c r="AZ7" i="5"/>
  <c r="AX20" i="4"/>
  <c r="F18" i="12"/>
  <c r="AY10" i="4"/>
  <c r="AY14" i="4"/>
  <c r="AY13" i="4"/>
  <c r="AZ8" i="5"/>
  <c r="AZ15" i="4" s="1"/>
  <c r="AZ8" i="4"/>
  <c r="BB16" i="7"/>
  <c r="BB18" i="7" s="1"/>
  <c r="BB19" i="11"/>
  <c r="BA35" i="8"/>
  <c r="AZ17" i="5" s="1"/>
  <c r="AZ20" i="5" s="1"/>
  <c r="BB39" i="7"/>
  <c r="BB7" i="8"/>
  <c r="BC6" i="7"/>
  <c r="AY42" i="8"/>
  <c r="G42" i="6" s="1"/>
  <c r="G29" i="6"/>
  <c r="AZ20" i="8"/>
  <c r="BA18" i="8"/>
  <c r="BC10" i="11"/>
  <c r="BC15" i="7" l="1"/>
  <c r="BB17" i="8" s="1"/>
  <c r="BB20" i="11"/>
  <c r="F20" i="12"/>
  <c r="AY18" i="4"/>
  <c r="AY20" i="4" s="1"/>
  <c r="BA20" i="8"/>
  <c r="BA29" i="8" s="1"/>
  <c r="AZ14" i="4"/>
  <c r="AZ9" i="4"/>
  <c r="BB28" i="7"/>
  <c r="BB41" i="7" s="1"/>
  <c r="BB19" i="7"/>
  <c r="BD14" i="7"/>
  <c r="BC16" i="8" s="1"/>
  <c r="BC12" i="7"/>
  <c r="BC9" i="7"/>
  <c r="BA40" i="8"/>
  <c r="AZ13" i="4" s="1"/>
  <c r="AZ29" i="8"/>
  <c r="BB10" i="8"/>
  <c r="BA31" i="5" s="1"/>
  <c r="BB49" i="8"/>
  <c r="BC34" i="7"/>
  <c r="BA51" i="8" l="1"/>
  <c r="BD43" i="7"/>
  <c r="BC11" i="11"/>
  <c r="BA7" i="5"/>
  <c r="AZ10" i="4"/>
  <c r="AZ18" i="4"/>
  <c r="BA8" i="4"/>
  <c r="BB14" i="8"/>
  <c r="BC16" i="7"/>
  <c r="BC18" i="7" s="1"/>
  <c r="BB35" i="8"/>
  <c r="BC39" i="7"/>
  <c r="BC7" i="8"/>
  <c r="BD6" i="7"/>
  <c r="BC19" i="11"/>
  <c r="AZ42" i="8"/>
  <c r="BA42" i="8"/>
  <c r="BD10" i="11"/>
  <c r="BD15" i="7" l="1"/>
  <c r="BC17" i="8" s="1"/>
  <c r="BC20" i="11"/>
  <c r="AZ20" i="4"/>
  <c r="BA17" i="5"/>
  <c r="BA20" i="5" s="1"/>
  <c r="BA8" i="5"/>
  <c r="BA15" i="4" s="1"/>
  <c r="BA9" i="4"/>
  <c r="BE14" i="7"/>
  <c r="BD16" i="8" s="1"/>
  <c r="BC10" i="8"/>
  <c r="BB31" i="5" s="1"/>
  <c r="BB40" i="8"/>
  <c r="BD12" i="7"/>
  <c r="BD9" i="7"/>
  <c r="BC19" i="7"/>
  <c r="BC28" i="7"/>
  <c r="BC41" i="7" s="1"/>
  <c r="BD34" i="7"/>
  <c r="BC49" i="8"/>
  <c r="BB18" i="8"/>
  <c r="BB51" i="8" l="1"/>
  <c r="BE43" i="7"/>
  <c r="BD11" i="11"/>
  <c r="BB7" i="5"/>
  <c r="BA10" i="4"/>
  <c r="BA14" i="4"/>
  <c r="BA13" i="4"/>
  <c r="BB8" i="4"/>
  <c r="BD7" i="8"/>
  <c r="BE6" i="7"/>
  <c r="BD19" i="11"/>
  <c r="BB20" i="8"/>
  <c r="BC14" i="8"/>
  <c r="BD16" i="7"/>
  <c r="BD18" i="7" s="1"/>
  <c r="BC35" i="8"/>
  <c r="BD39" i="7"/>
  <c r="BE10" i="11"/>
  <c r="BE15" i="7" l="1"/>
  <c r="BD17" i="8" s="1"/>
  <c r="BD20" i="11"/>
  <c r="BA18" i="4"/>
  <c r="BA20" i="4" s="1"/>
  <c r="BB17" i="5"/>
  <c r="BB20" i="5" s="1"/>
  <c r="BB8" i="5"/>
  <c r="BB15" i="4" s="1"/>
  <c r="BB9" i="4"/>
  <c r="BD19" i="7"/>
  <c r="BD28" i="7"/>
  <c r="BD41" i="7" s="1"/>
  <c r="BC40" i="8"/>
  <c r="BC18" i="8"/>
  <c r="BE34" i="7"/>
  <c r="BD49" i="8"/>
  <c r="BF14" i="7"/>
  <c r="BE16" i="8" s="1"/>
  <c r="BB29" i="8"/>
  <c r="BE12" i="7"/>
  <c r="BE9" i="7"/>
  <c r="BD10" i="8"/>
  <c r="BC31" i="5" s="1"/>
  <c r="BC51" i="8" l="1"/>
  <c r="BF43" i="7"/>
  <c r="BE11" i="11"/>
  <c r="BC7" i="5"/>
  <c r="BB10" i="4"/>
  <c r="BB14" i="4"/>
  <c r="BC8" i="4"/>
  <c r="BB13" i="4"/>
  <c r="BB42" i="8"/>
  <c r="BD35" i="8"/>
  <c r="BE39" i="7"/>
  <c r="BE7" i="8"/>
  <c r="BE10" i="8" s="1"/>
  <c r="BD31" i="5" s="1"/>
  <c r="BF6" i="7"/>
  <c r="BE19" i="11"/>
  <c r="BD14" i="8"/>
  <c r="BE16" i="7"/>
  <c r="BE18" i="7" s="1"/>
  <c r="BC20" i="8"/>
  <c r="BF10" i="11"/>
  <c r="BF15" i="7" l="1"/>
  <c r="BE17" i="8" s="1"/>
  <c r="BE20" i="11"/>
  <c r="BD7" i="5"/>
  <c r="BD9" i="4" s="1"/>
  <c r="BB18" i="4"/>
  <c r="BB20" i="4" s="1"/>
  <c r="BC17" i="5"/>
  <c r="BC20" i="5" s="1"/>
  <c r="BC8" i="5"/>
  <c r="BC15" i="4" s="1"/>
  <c r="BD8" i="4"/>
  <c r="BC9" i="4"/>
  <c r="BE19" i="7"/>
  <c r="BE28" i="7"/>
  <c r="BE41" i="7" s="1"/>
  <c r="BE49" i="8"/>
  <c r="BF34" i="7"/>
  <c r="BG14" i="7"/>
  <c r="BF16" i="8" s="1"/>
  <c r="BD18" i="8"/>
  <c r="BD40" i="8"/>
  <c r="BC29" i="8"/>
  <c r="BF12" i="7"/>
  <c r="BE14" i="8" s="1"/>
  <c r="BF9" i="7"/>
  <c r="BD51" i="8" l="1"/>
  <c r="BG43" i="7"/>
  <c r="BF11" i="11"/>
  <c r="BC10" i="4"/>
  <c r="BC14" i="4"/>
  <c r="BD10" i="4"/>
  <c r="BD8" i="5"/>
  <c r="BD15" i="4" s="1"/>
  <c r="BC13" i="4"/>
  <c r="BE18" i="8"/>
  <c r="BF7" i="8"/>
  <c r="BF10" i="8" s="1"/>
  <c r="BE31" i="5" s="1"/>
  <c r="BG6" i="7"/>
  <c r="BE35" i="8"/>
  <c r="BD17" i="5" s="1"/>
  <c r="BD20" i="5" s="1"/>
  <c r="BF39" i="7"/>
  <c r="BD20" i="8"/>
  <c r="BF16" i="7"/>
  <c r="BF18" i="7" s="1"/>
  <c r="BF19" i="11"/>
  <c r="BC42" i="8"/>
  <c r="BG10" i="11"/>
  <c r="BG15" i="7" l="1"/>
  <c r="BF17" i="8" s="1"/>
  <c r="BF20" i="11"/>
  <c r="BE7" i="5"/>
  <c r="BC18" i="4"/>
  <c r="BC20" i="4" s="1"/>
  <c r="BE8" i="4"/>
  <c r="BE20" i="8"/>
  <c r="BE29" i="8" s="1"/>
  <c r="BE40" i="8"/>
  <c r="BD13" i="4" s="1"/>
  <c r="BF19" i="7"/>
  <c r="BF28" i="7"/>
  <c r="BF41" i="7" s="1"/>
  <c r="BD29" i="8"/>
  <c r="BG12" i="7"/>
  <c r="BG9" i="7"/>
  <c r="BH14" i="7"/>
  <c r="BG16" i="8" s="1"/>
  <c r="BF49" i="8"/>
  <c r="BG34" i="7"/>
  <c r="BE51" i="8" l="1"/>
  <c r="BH43" i="7"/>
  <c r="BG11" i="11"/>
  <c r="BE42" i="8"/>
  <c r="BD14" i="4"/>
  <c r="BD18" i="4" s="1"/>
  <c r="BD20" i="4" s="1"/>
  <c r="BE9" i="4"/>
  <c r="BE10" i="4" s="1"/>
  <c r="BG19" i="11"/>
  <c r="BD42" i="8"/>
  <c r="BG7" i="8"/>
  <c r="BG10" i="8" s="1"/>
  <c r="BF31" i="5" s="1"/>
  <c r="BH6" i="7"/>
  <c r="BF35" i="8"/>
  <c r="BG39" i="7"/>
  <c r="BF14" i="8"/>
  <c r="BE8" i="5" s="1"/>
  <c r="BG16" i="7"/>
  <c r="BG18" i="7" s="1"/>
  <c r="BH10" i="11"/>
  <c r="BH15" i="7" l="1"/>
  <c r="BG17" i="8" s="1"/>
  <c r="BG20" i="11"/>
  <c r="BF7" i="5"/>
  <c r="BE17" i="5"/>
  <c r="BE20" i="5" s="1"/>
  <c r="BF40" i="8"/>
  <c r="BF18" i="8"/>
  <c r="BF8" i="4"/>
  <c r="BH34" i="7"/>
  <c r="BG49" i="8"/>
  <c r="BG19" i="7"/>
  <c r="BG28" i="7"/>
  <c r="BG41" i="7" s="1"/>
  <c r="BH12" i="7"/>
  <c r="BH9" i="7"/>
  <c r="BI14" i="7"/>
  <c r="BH16" i="8" s="1"/>
  <c r="BF51" i="8" l="1"/>
  <c r="BI43" i="7"/>
  <c r="BH11" i="11"/>
  <c r="BE15" i="4"/>
  <c r="BF20" i="8"/>
  <c r="BF29" i="8" s="1"/>
  <c r="BF42" i="8" s="1"/>
  <c r="BE13" i="4"/>
  <c r="BE14" i="4"/>
  <c r="BF9" i="4"/>
  <c r="BF10" i="4" s="1"/>
  <c r="BG14" i="8"/>
  <c r="BF8" i="5" s="1"/>
  <c r="BH16" i="7"/>
  <c r="BH18" i="7" s="1"/>
  <c r="BG35" i="8"/>
  <c r="BH39" i="7"/>
  <c r="BH7" i="8"/>
  <c r="BH10" i="8" s="1"/>
  <c r="BG31" i="5" s="1"/>
  <c r="BI6" i="7"/>
  <c r="BH19" i="11"/>
  <c r="BI10" i="11"/>
  <c r="BI15" i="7" l="1"/>
  <c r="BH17" i="8" s="1"/>
  <c r="BH20" i="11"/>
  <c r="BG7" i="5"/>
  <c r="BF17" i="5"/>
  <c r="BF20" i="5" s="1"/>
  <c r="BE18" i="4"/>
  <c r="BE20" i="4" s="1"/>
  <c r="BG40" i="8"/>
  <c r="BG8" i="4"/>
  <c r="BG18" i="8"/>
  <c r="BF15" i="4"/>
  <c r="BH28" i="7"/>
  <c r="BH41" i="7" s="1"/>
  <c r="BH19" i="7"/>
  <c r="BI34" i="7"/>
  <c r="BH49" i="8"/>
  <c r="BJ14" i="7"/>
  <c r="BI16" i="8" s="1"/>
  <c r="BI12" i="7"/>
  <c r="BI9" i="7"/>
  <c r="BG51" i="8" l="1"/>
  <c r="BJ43" i="7"/>
  <c r="BI11" i="11"/>
  <c r="BG9" i="4"/>
  <c r="BG10" i="4" s="1"/>
  <c r="BG20" i="8"/>
  <c r="BG29" i="8" s="1"/>
  <c r="BG42" i="8" s="1"/>
  <c r="BF13" i="4"/>
  <c r="BF14" i="4"/>
  <c r="BI19" i="11"/>
  <c r="BI7" i="8"/>
  <c r="BI10" i="8" s="1"/>
  <c r="BH31" i="5" s="1"/>
  <c r="BJ6" i="7"/>
  <c r="BH14" i="8"/>
  <c r="BG8" i="5" s="1"/>
  <c r="BI16" i="7"/>
  <c r="BI18" i="7" s="1"/>
  <c r="BH35" i="8"/>
  <c r="BI39" i="7"/>
  <c r="BJ10" i="11"/>
  <c r="BJ15" i="7" l="1"/>
  <c r="BI17" i="8" s="1"/>
  <c r="BI20" i="11"/>
  <c r="BH7" i="5"/>
  <c r="BG17" i="5"/>
  <c r="BG20" i="5" s="1"/>
  <c r="BF18" i="4"/>
  <c r="BF20" i="4" s="1"/>
  <c r="BH40" i="8"/>
  <c r="BH8" i="4"/>
  <c r="BH18" i="8"/>
  <c r="BG15" i="4"/>
  <c r="BI19" i="7"/>
  <c r="BI28" i="7"/>
  <c r="BI41" i="7" s="1"/>
  <c r="BK14" i="7"/>
  <c r="BJ16" i="8" s="1"/>
  <c r="BI49" i="8"/>
  <c r="BJ34" i="7"/>
  <c r="BJ12" i="7"/>
  <c r="BI14" i="8" s="1"/>
  <c r="BJ9" i="7"/>
  <c r="BH51" i="8" l="1"/>
  <c r="BK43" i="7"/>
  <c r="BJ11" i="11"/>
  <c r="BG14" i="4"/>
  <c r="BH8" i="5"/>
  <c r="BH15" i="4" s="1"/>
  <c r="BH9" i="4"/>
  <c r="BH10" i="4" s="1"/>
  <c r="BH20" i="8"/>
  <c r="BH29" i="8" s="1"/>
  <c r="BH42" i="8" s="1"/>
  <c r="BG13" i="4"/>
  <c r="BI18" i="8"/>
  <c r="BI35" i="8"/>
  <c r="BH17" i="5" s="1"/>
  <c r="BH20" i="5" s="1"/>
  <c r="BJ39" i="7"/>
  <c r="BJ19" i="11"/>
  <c r="BJ16" i="7"/>
  <c r="BJ18" i="7" s="1"/>
  <c r="BJ7" i="8"/>
  <c r="BJ10" i="8" s="1"/>
  <c r="BI31" i="5" s="1"/>
  <c r="BK6" i="7"/>
  <c r="BK10" i="11"/>
  <c r="BK15" i="7" l="1"/>
  <c r="BJ17" i="8" s="1"/>
  <c r="BJ20" i="11"/>
  <c r="BI7" i="5"/>
  <c r="BG18" i="4"/>
  <c r="BG20" i="4" s="1"/>
  <c r="BI8" i="4"/>
  <c r="BI40" i="8"/>
  <c r="BH13" i="4" s="1"/>
  <c r="BI20" i="8"/>
  <c r="BI29" i="8" s="1"/>
  <c r="BJ19" i="7"/>
  <c r="BJ28" i="7"/>
  <c r="BJ41" i="7" s="1"/>
  <c r="BL14" i="7"/>
  <c r="BK16" i="8" s="1"/>
  <c r="H16" i="6" s="1"/>
  <c r="BJ49" i="8"/>
  <c r="BK34" i="7"/>
  <c r="BK12" i="7"/>
  <c r="BK9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E4" i="7"/>
  <c r="H13" i="3"/>
  <c r="I13" i="3"/>
  <c r="J13" i="3"/>
  <c r="K13" i="3"/>
  <c r="L13" i="3"/>
  <c r="M13" i="3"/>
  <c r="N13" i="3"/>
  <c r="O13" i="3"/>
  <c r="BI51" i="8" l="1"/>
  <c r="BL43" i="7"/>
  <c r="BK11" i="11"/>
  <c r="L14" i="3"/>
  <c r="L16" i="3" s="1"/>
  <c r="N14" i="3"/>
  <c r="N16" i="3" s="1"/>
  <c r="M14" i="3"/>
  <c r="M16" i="3" s="1"/>
  <c r="H14" i="3"/>
  <c r="H16" i="3" s="1"/>
  <c r="K14" i="3"/>
  <c r="K16" i="3" s="1"/>
  <c r="G16" i="3"/>
  <c r="J14" i="3"/>
  <c r="J16" i="3" s="1"/>
  <c r="F16" i="3"/>
  <c r="I14" i="3"/>
  <c r="I16" i="3" s="1"/>
  <c r="E16" i="3"/>
  <c r="D16" i="3"/>
  <c r="O14" i="3"/>
  <c r="O16" i="3" s="1"/>
  <c r="BI42" i="8"/>
  <c r="BH14" i="4"/>
  <c r="BH18" i="4" s="1"/>
  <c r="BH20" i="4" s="1"/>
  <c r="BI9" i="4"/>
  <c r="BI10" i="4" s="1"/>
  <c r="BK16" i="7"/>
  <c r="BK18" i="7" s="1"/>
  <c r="BJ14" i="8"/>
  <c r="BI8" i="5" s="1"/>
  <c r="BJ35" i="8"/>
  <c r="BK39" i="7"/>
  <c r="BK7" i="8"/>
  <c r="BL6" i="7"/>
  <c r="BK19" i="11"/>
  <c r="E13" i="8"/>
  <c r="D17" i="5" s="1"/>
  <c r="D20" i="5" s="1"/>
  <c r="BL15" i="7" l="1"/>
  <c r="BK17" i="8" s="1"/>
  <c r="H17" i="6" s="1"/>
  <c r="BK20" i="11"/>
  <c r="BI17" i="5"/>
  <c r="BI20" i="5" s="1"/>
  <c r="BJ18" i="8"/>
  <c r="E18" i="8"/>
  <c r="D8" i="5"/>
  <c r="BJ40" i="8"/>
  <c r="BL12" i="7"/>
  <c r="BL9" i="7"/>
  <c r="BK10" i="8"/>
  <c r="BJ31" i="5" s="1"/>
  <c r="H7" i="6"/>
  <c r="BL34" i="7"/>
  <c r="BK49" i="8"/>
  <c r="H49" i="6" s="1"/>
  <c r="BK19" i="7"/>
  <c r="BK28" i="7"/>
  <c r="BK41" i="7" s="1"/>
  <c r="D13" i="8"/>
  <c r="F13" i="8"/>
  <c r="D13" i="4" l="1"/>
  <c r="E51" i="8"/>
  <c r="BJ51" i="8"/>
  <c r="BJ7" i="5"/>
  <c r="G7" i="13" s="1"/>
  <c r="E8" i="5"/>
  <c r="E15" i="4" s="1"/>
  <c r="E17" i="5"/>
  <c r="E20" i="5" s="1"/>
  <c r="BI14" i="4"/>
  <c r="BJ20" i="8"/>
  <c r="BJ29" i="8" s="1"/>
  <c r="BJ42" i="8" s="1"/>
  <c r="BI13" i="4"/>
  <c r="F18" i="8"/>
  <c r="BJ8" i="4"/>
  <c r="G8" i="12" s="1"/>
  <c r="C8" i="5"/>
  <c r="C15" i="4" s="1"/>
  <c r="C17" i="5"/>
  <c r="BI15" i="4"/>
  <c r="D18" i="8"/>
  <c r="BK35" i="8"/>
  <c r="BL39" i="7"/>
  <c r="H10" i="6"/>
  <c r="BK14" i="8"/>
  <c r="BL16" i="7"/>
  <c r="BL18" i="7" s="1"/>
  <c r="G13" i="8"/>
  <c r="E13" i="4" l="1"/>
  <c r="F51" i="8"/>
  <c r="C13" i="4"/>
  <c r="D51" i="8"/>
  <c r="BJ9" i="4"/>
  <c r="G9" i="12" s="1"/>
  <c r="E14" i="4"/>
  <c r="BI18" i="4"/>
  <c r="BI20" i="4" s="1"/>
  <c r="BJ17" i="5"/>
  <c r="D15" i="4"/>
  <c r="BJ8" i="5"/>
  <c r="F8" i="5"/>
  <c r="F15" i="4" s="1"/>
  <c r="F17" i="5"/>
  <c r="F20" i="5" s="1"/>
  <c r="G18" i="8"/>
  <c r="C20" i="5"/>
  <c r="C14" i="4"/>
  <c r="D14" i="4"/>
  <c r="BL19" i="7"/>
  <c r="BL28" i="7"/>
  <c r="BL41" i="7" s="1"/>
  <c r="BK18" i="8"/>
  <c r="H14" i="6"/>
  <c r="BK40" i="8"/>
  <c r="H40" i="6" s="1"/>
  <c r="H35" i="6"/>
  <c r="E18" i="4" l="1"/>
  <c r="BK51" i="8"/>
  <c r="F13" i="4"/>
  <c r="G51" i="8"/>
  <c r="BJ10" i="4"/>
  <c r="G10" i="12" s="1"/>
  <c r="BJ20" i="5"/>
  <c r="G20" i="13" s="1"/>
  <c r="G17" i="13"/>
  <c r="BJ15" i="4"/>
  <c r="G15" i="12" s="1"/>
  <c r="G8" i="13"/>
  <c r="C18" i="4"/>
  <c r="BJ14" i="4"/>
  <c r="G14" i="12" s="1"/>
  <c r="BJ13" i="4"/>
  <c r="G13" i="12" s="1"/>
  <c r="D18" i="4"/>
  <c r="F14" i="4"/>
  <c r="H18" i="6"/>
  <c r="BK20" i="8"/>
  <c r="F18" i="4" l="1"/>
  <c r="BJ18" i="4"/>
  <c r="BK29" i="8"/>
  <c r="H20" i="6"/>
  <c r="BJ20" i="4" l="1"/>
  <c r="G18" i="12"/>
  <c r="BK42" i="8"/>
  <c r="H42" i="6" s="1"/>
  <c r="H29" i="6"/>
  <c r="G20" i="12" l="1"/>
  <c r="C23" i="4" l="1"/>
  <c r="E11" i="3" l="1"/>
  <c r="E6" i="8"/>
  <c r="E10" i="8" s="1"/>
  <c r="G6" i="8"/>
  <c r="G10" i="8" s="1"/>
  <c r="G11" i="3"/>
  <c r="F6" i="8"/>
  <c r="F10" i="8" s="1"/>
  <c r="F11" i="3"/>
  <c r="D6" i="8"/>
  <c r="D11" i="3"/>
  <c r="E31" i="5" l="1"/>
  <c r="E32" i="5" s="1"/>
  <c r="E7" i="5"/>
  <c r="F20" i="8"/>
  <c r="F29" i="8" s="1"/>
  <c r="F42" i="8" s="1"/>
  <c r="E8" i="4"/>
  <c r="G26" i="3"/>
  <c r="G18" i="3"/>
  <c r="G24" i="3" s="1"/>
  <c r="D18" i="3"/>
  <c r="D24" i="3" s="1"/>
  <c r="D26" i="3"/>
  <c r="D10" i="8"/>
  <c r="D7" i="5"/>
  <c r="E20" i="8"/>
  <c r="E29" i="8" s="1"/>
  <c r="E42" i="8" s="1"/>
  <c r="D8" i="4"/>
  <c r="D31" i="5"/>
  <c r="D32" i="5" s="1"/>
  <c r="F26" i="3"/>
  <c r="F18" i="3"/>
  <c r="F24" i="3" s="1"/>
  <c r="F31" i="5"/>
  <c r="F32" i="5" s="1"/>
  <c r="F7" i="5"/>
  <c r="G20" i="8"/>
  <c r="G29" i="8" s="1"/>
  <c r="G42" i="8" s="1"/>
  <c r="F8" i="4"/>
  <c r="E18" i="3"/>
  <c r="E24" i="3" s="1"/>
  <c r="E26" i="3"/>
  <c r="E9" i="4" l="1"/>
  <c r="E10" i="4" s="1"/>
  <c r="E20" i="4" s="1"/>
  <c r="C31" i="5"/>
  <c r="C32" i="5" s="1"/>
  <c r="C8" i="4"/>
  <c r="C7" i="5"/>
  <c r="D20" i="8"/>
  <c r="F9" i="4"/>
  <c r="F10" i="4" s="1"/>
  <c r="F20" i="4" s="1"/>
  <c r="D29" i="8" l="1"/>
  <c r="C9" i="4"/>
  <c r="D9" i="4"/>
  <c r="D10" i="4" s="1"/>
  <c r="D20" i="4" s="1"/>
  <c r="C10" i="4" l="1"/>
  <c r="C20" i="4" s="1"/>
  <c r="C29" i="4" s="1"/>
  <c r="D42" i="8"/>
  <c r="D47" i="8" l="1"/>
  <c r="C27" i="4"/>
  <c r="C6" i="5" l="1"/>
  <c r="C14" i="5" s="1"/>
  <c r="D5" i="4"/>
  <c r="C24" i="5" l="1"/>
  <c r="C25" i="5" s="1"/>
  <c r="C27" i="5" s="1"/>
  <c r="C29" i="5" s="1"/>
  <c r="E44" i="8"/>
  <c r="E47" i="8" s="1"/>
  <c r="D24" i="5" l="1"/>
  <c r="D23" i="4"/>
  <c r="D27" i="4" l="1"/>
  <c r="D29" i="4"/>
  <c r="E5" i="4" l="1"/>
  <c r="D6" i="5"/>
  <c r="D14" i="5" s="1"/>
  <c r="D25" i="5"/>
  <c r="D27" i="5" s="1"/>
  <c r="D29" i="5" l="1"/>
  <c r="F44" i="8"/>
  <c r="E23" i="4" l="1"/>
  <c r="F47" i="8"/>
  <c r="H7" i="3"/>
  <c r="I5" i="3" l="1"/>
  <c r="I7" i="3" s="1"/>
  <c r="E24" i="5"/>
  <c r="E27" i="4"/>
  <c r="E29" i="4"/>
  <c r="F5" i="4" l="1"/>
  <c r="E6" i="5"/>
  <c r="E14" i="5" s="1"/>
  <c r="H6" i="8"/>
  <c r="H10" i="3"/>
  <c r="E25" i="5"/>
  <c r="E27" i="5" s="1"/>
  <c r="J5" i="3"/>
  <c r="J7" i="3" s="1"/>
  <c r="E29" i="5" l="1"/>
  <c r="K5" i="3"/>
  <c r="K7" i="3" s="1"/>
  <c r="H10" i="8"/>
  <c r="I10" i="3"/>
  <c r="I6" i="8"/>
  <c r="I10" i="8" s="1"/>
  <c r="G44" i="8"/>
  <c r="G31" i="5" l="1"/>
  <c r="G32" i="5" s="1"/>
  <c r="G7" i="5"/>
  <c r="G8" i="4"/>
  <c r="H31" i="5"/>
  <c r="H32" i="5" s="1"/>
  <c r="H7" i="5"/>
  <c r="H8" i="4"/>
  <c r="J6" i="8"/>
  <c r="J10" i="3"/>
  <c r="F23" i="4"/>
  <c r="G47" i="8"/>
  <c r="L5" i="3"/>
  <c r="L7" i="3" s="1"/>
  <c r="F27" i="4" l="1"/>
  <c r="F29" i="4"/>
  <c r="M5" i="3"/>
  <c r="M7" i="3" s="1"/>
  <c r="J10" i="8"/>
  <c r="H9" i="4"/>
  <c r="H10" i="4" s="1"/>
  <c r="G9" i="4"/>
  <c r="F24" i="5"/>
  <c r="F25" i="5" s="1"/>
  <c r="F27" i="5" s="1"/>
  <c r="K10" i="3"/>
  <c r="K6" i="8"/>
  <c r="K10" i="8" s="1"/>
  <c r="G10" i="4" l="1"/>
  <c r="J31" i="5"/>
  <c r="J32" i="5" s="1"/>
  <c r="J7" i="5"/>
  <c r="J8" i="4"/>
  <c r="F6" i="5"/>
  <c r="F14" i="5" s="1"/>
  <c r="F29" i="5" s="1"/>
  <c r="G5" i="4"/>
  <c r="I31" i="5"/>
  <c r="I32" i="5" s="1"/>
  <c r="I7" i="5"/>
  <c r="I8" i="4"/>
  <c r="L10" i="3"/>
  <c r="L6" i="8"/>
  <c r="L10" i="8" s="1"/>
  <c r="N5" i="3"/>
  <c r="N7" i="3" s="1"/>
  <c r="K31" i="5" l="1"/>
  <c r="K32" i="5" s="1"/>
  <c r="K7" i="5"/>
  <c r="K9" i="4" s="1"/>
  <c r="K8" i="4"/>
  <c r="O5" i="3"/>
  <c r="O7" i="3" s="1"/>
  <c r="J9" i="4"/>
  <c r="J10" i="4" s="1"/>
  <c r="I9" i="4"/>
  <c r="H44" i="8"/>
  <c r="G23" i="4" s="1"/>
  <c r="M6" i="8"/>
  <c r="M10" i="8" s="1"/>
  <c r="M10" i="3"/>
  <c r="P5" i="3" l="1"/>
  <c r="P7" i="3" s="1"/>
  <c r="L31" i="5"/>
  <c r="L32" i="5" s="1"/>
  <c r="L8" i="4"/>
  <c r="L7" i="5"/>
  <c r="L9" i="4" s="1"/>
  <c r="I10" i="4"/>
  <c r="K10" i="4"/>
  <c r="N10" i="3"/>
  <c r="N6" i="8"/>
  <c r="N10" i="8" s="1"/>
  <c r="L10" i="4" l="1"/>
  <c r="M31" i="5"/>
  <c r="M32" i="5" s="1"/>
  <c r="M7" i="5"/>
  <c r="M8" i="4"/>
  <c r="O10" i="3"/>
  <c r="O6" i="8"/>
  <c r="Q5" i="3"/>
  <c r="Q7" i="3" s="1"/>
  <c r="P10" i="3" l="1"/>
  <c r="P6" i="8"/>
  <c r="R5" i="3"/>
  <c r="R7" i="3" s="1"/>
  <c r="M9" i="4"/>
  <c r="M10" i="4" s="1"/>
  <c r="O10" i="8"/>
  <c r="D6" i="6"/>
  <c r="S5" i="3" l="1"/>
  <c r="S7" i="3" s="1"/>
  <c r="P10" i="8"/>
  <c r="Q10" i="3"/>
  <c r="Q6" i="8"/>
  <c r="Q10" i="8" s="1"/>
  <c r="N31" i="5"/>
  <c r="N32" i="5" s="1"/>
  <c r="N8" i="4"/>
  <c r="N7" i="5"/>
  <c r="D10" i="6"/>
  <c r="C7" i="13" l="1"/>
  <c r="N9" i="4"/>
  <c r="C9" i="12" s="1"/>
  <c r="C8" i="12"/>
  <c r="O8" i="4"/>
  <c r="O31" i="5"/>
  <c r="O32" i="5" s="1"/>
  <c r="O7" i="5"/>
  <c r="O9" i="4" s="1"/>
  <c r="R6" i="8"/>
  <c r="R10" i="8" s="1"/>
  <c r="R10" i="3"/>
  <c r="P8" i="4"/>
  <c r="P31" i="5"/>
  <c r="P32" i="5" s="1"/>
  <c r="P7" i="5"/>
  <c r="T5" i="3"/>
  <c r="T7" i="3" s="1"/>
  <c r="N10" i="4" l="1"/>
  <c r="C10" i="12" s="1"/>
  <c r="S10" i="3"/>
  <c r="S6" i="8"/>
  <c r="S10" i="8" s="1"/>
  <c r="O10" i="4"/>
  <c r="U5" i="3"/>
  <c r="U7" i="3" s="1"/>
  <c r="P9" i="4"/>
  <c r="P10" i="4" s="1"/>
  <c r="Q7" i="5"/>
  <c r="Q9" i="4" s="1"/>
  <c r="Q31" i="5"/>
  <c r="Q32" i="5" s="1"/>
  <c r="Q8" i="4"/>
  <c r="Q10" i="4" l="1"/>
  <c r="V5" i="3"/>
  <c r="V7" i="3" s="1"/>
  <c r="R31" i="5"/>
  <c r="R32" i="5" s="1"/>
  <c r="R7" i="5"/>
  <c r="R8" i="4"/>
  <c r="T10" i="3"/>
  <c r="T6" i="8"/>
  <c r="U6" i="8" l="1"/>
  <c r="U10" i="8" s="1"/>
  <c r="U10" i="3"/>
  <c r="W5" i="3"/>
  <c r="W7" i="3" s="1"/>
  <c r="T10" i="8"/>
  <c r="R9" i="4"/>
  <c r="X5" i="3" l="1"/>
  <c r="X7" i="3" s="1"/>
  <c r="S7" i="5"/>
  <c r="S9" i="4" s="1"/>
  <c r="S31" i="5"/>
  <c r="S32" i="5" s="1"/>
  <c r="S8" i="4"/>
  <c r="T31" i="5"/>
  <c r="T32" i="5" s="1"/>
  <c r="T8" i="4"/>
  <c r="T7" i="5"/>
  <c r="R10" i="4"/>
  <c r="V6" i="8"/>
  <c r="V10" i="3"/>
  <c r="T9" i="4" l="1"/>
  <c r="T10" i="4" s="1"/>
  <c r="S10" i="4"/>
  <c r="V10" i="8"/>
  <c r="W10" i="3"/>
  <c r="W6" i="8"/>
  <c r="W10" i="8" s="1"/>
  <c r="Y5" i="3"/>
  <c r="Y7" i="3" s="1"/>
  <c r="X10" i="3" l="1"/>
  <c r="X6" i="8"/>
  <c r="X10" i="8" s="1"/>
  <c r="Z5" i="3"/>
  <c r="Z7" i="3" s="1"/>
  <c r="V8" i="4"/>
  <c r="V7" i="5"/>
  <c r="V31" i="5"/>
  <c r="U8" i="4"/>
  <c r="U31" i="5"/>
  <c r="U32" i="5" s="1"/>
  <c r="U7" i="5"/>
  <c r="U9" i="4" s="1"/>
  <c r="W7" i="5" l="1"/>
  <c r="W9" i="4" s="1"/>
  <c r="W8" i="4"/>
  <c r="W31" i="5"/>
  <c r="V9" i="4"/>
  <c r="V10" i="4" s="1"/>
  <c r="V37" i="5"/>
  <c r="V39" i="5" s="1"/>
  <c r="V40" i="5" s="1"/>
  <c r="W40" i="5" s="1"/>
  <c r="X40" i="5" s="1"/>
  <c r="Y40" i="5" s="1"/>
  <c r="Z40" i="5" s="1"/>
  <c r="AA40" i="5" s="1"/>
  <c r="U10" i="4"/>
  <c r="Y6" i="8"/>
  <c r="Y10" i="8" s="1"/>
  <c r="Y10" i="3"/>
  <c r="AA5" i="3"/>
  <c r="AA7" i="3" s="1"/>
  <c r="W32" i="5" l="1"/>
  <c r="V32" i="5"/>
  <c r="Z10" i="3"/>
  <c r="Z6" i="8"/>
  <c r="Z10" i="8" s="1"/>
  <c r="W10" i="4"/>
  <c r="X31" i="5"/>
  <c r="X32" i="5" s="1"/>
  <c r="X8" i="4"/>
  <c r="X7" i="5"/>
  <c r="X9" i="4" s="1"/>
  <c r="AA32" i="5"/>
  <c r="AB40" i="5"/>
  <c r="AA6" i="8" l="1"/>
  <c r="AA10" i="3"/>
  <c r="X10" i="4"/>
  <c r="AC40" i="5"/>
  <c r="AB32" i="5"/>
  <c r="Y7" i="5"/>
  <c r="Y31" i="5"/>
  <c r="Y32" i="5" s="1"/>
  <c r="Y8" i="4"/>
  <c r="AA10" i="8" l="1"/>
  <c r="E6" i="6"/>
  <c r="Y9" i="4"/>
  <c r="Y10" i="4" s="1"/>
  <c r="AC32" i="5"/>
  <c r="AD40" i="5"/>
  <c r="Z31" i="5" l="1"/>
  <c r="Z32" i="5" s="1"/>
  <c r="Z8" i="4"/>
  <c r="Z7" i="5"/>
  <c r="E10" i="6"/>
  <c r="AE40" i="5"/>
  <c r="AD32" i="5"/>
  <c r="D7" i="13" l="1"/>
  <c r="AA9" i="4"/>
  <c r="Z9" i="4"/>
  <c r="D9" i="12" s="1"/>
  <c r="D8" i="12"/>
  <c r="AF40" i="5"/>
  <c r="AE32" i="5"/>
  <c r="Z10" i="4" l="1"/>
  <c r="AF32" i="5"/>
  <c r="AG40" i="5"/>
  <c r="AA10" i="4"/>
  <c r="E9" i="12"/>
  <c r="D10" i="12" l="1"/>
  <c r="AH40" i="5"/>
  <c r="AG32" i="5"/>
  <c r="E10" i="12"/>
  <c r="AI40" i="5" l="1"/>
  <c r="AH32" i="5"/>
  <c r="AJ40" i="5" l="1"/>
  <c r="AI32" i="5"/>
  <c r="AK40" i="5" l="1"/>
  <c r="AJ32" i="5"/>
  <c r="AL40" i="5" l="1"/>
  <c r="AK32" i="5"/>
  <c r="AM40" i="5" l="1"/>
  <c r="AL32" i="5"/>
  <c r="AN40" i="5" l="1"/>
  <c r="AM32" i="5"/>
  <c r="AO40" i="5" l="1"/>
  <c r="AN32" i="5"/>
  <c r="AP40" i="5" l="1"/>
  <c r="AO32" i="5"/>
  <c r="AQ40" i="5" l="1"/>
  <c r="AP32" i="5"/>
  <c r="AR40" i="5" l="1"/>
  <c r="AQ32" i="5"/>
  <c r="AS40" i="5" l="1"/>
  <c r="AR32" i="5"/>
  <c r="AS32" i="5" l="1"/>
  <c r="AT40" i="5"/>
  <c r="AU40" i="5" l="1"/>
  <c r="AT32" i="5"/>
  <c r="AV40" i="5" l="1"/>
  <c r="AU32" i="5"/>
  <c r="AW40" i="5" l="1"/>
  <c r="AV32" i="5"/>
  <c r="AX40" i="5" l="1"/>
  <c r="AW32" i="5"/>
  <c r="AX32" i="5" l="1"/>
  <c r="AY40" i="5"/>
  <c r="AY32" i="5" l="1"/>
  <c r="AZ40" i="5"/>
  <c r="BA40" i="5" l="1"/>
  <c r="AZ32" i="5"/>
  <c r="BA32" i="5" l="1"/>
  <c r="BB40" i="5"/>
  <c r="BC40" i="5" l="1"/>
  <c r="BB32" i="5"/>
  <c r="BD40" i="5" l="1"/>
  <c r="BC32" i="5"/>
  <c r="BE40" i="5" l="1"/>
  <c r="BD32" i="5"/>
  <c r="BE32" i="5" l="1"/>
  <c r="BF40" i="5"/>
  <c r="BG40" i="5" l="1"/>
  <c r="BF32" i="5"/>
  <c r="BG32" i="5" l="1"/>
  <c r="BH40" i="5"/>
  <c r="BI40" i="5" l="1"/>
  <c r="BH32" i="5"/>
  <c r="BJ40" i="5" l="1"/>
  <c r="BJ32" i="5" s="1"/>
  <c r="BI32" i="5"/>
  <c r="C15" i="2"/>
  <c r="G6" i="2" s="1"/>
  <c r="Z9" i="3" l="1"/>
  <c r="W9" i="3"/>
  <c r="I9" i="3"/>
  <c r="J9" i="3"/>
  <c r="N9" i="3"/>
  <c r="Q9" i="3"/>
  <c r="O9" i="3"/>
  <c r="K9" i="3"/>
  <c r="Y9" i="3"/>
  <c r="V9" i="3"/>
  <c r="T9" i="3"/>
  <c r="H9" i="3"/>
  <c r="G8" i="2"/>
  <c r="K6" i="2" s="1"/>
  <c r="K7" i="2" s="1"/>
  <c r="K10" i="2" s="1"/>
  <c r="K13" i="2" s="1"/>
  <c r="L9" i="3"/>
  <c r="AA9" i="3"/>
  <c r="U9" i="3"/>
  <c r="S9" i="3"/>
  <c r="R9" i="3"/>
  <c r="M9" i="3"/>
  <c r="X9" i="3"/>
  <c r="P9" i="3"/>
  <c r="V11" i="3" l="1"/>
  <c r="V13" i="8"/>
  <c r="J11" i="3"/>
  <c r="J13" i="8"/>
  <c r="I11" i="3"/>
  <c r="I13" i="8"/>
  <c r="T11" i="3"/>
  <c r="T13" i="8"/>
  <c r="Y13" i="8"/>
  <c r="Y11" i="3"/>
  <c r="K11" i="3"/>
  <c r="K13" i="8"/>
  <c r="O11" i="3"/>
  <c r="O13" i="8"/>
  <c r="R11" i="3"/>
  <c r="R13" i="8"/>
  <c r="N13" i="8"/>
  <c r="N11" i="3"/>
  <c r="U13" i="8"/>
  <c r="U11" i="3"/>
  <c r="AA13" i="8"/>
  <c r="AA11" i="3"/>
  <c r="W13" i="8"/>
  <c r="W11" i="3"/>
  <c r="H11" i="3"/>
  <c r="H13" i="8"/>
  <c r="P13" i="8"/>
  <c r="P11" i="3"/>
  <c r="X13" i="8"/>
  <c r="X11" i="3"/>
  <c r="M11" i="3"/>
  <c r="M13" i="8"/>
  <c r="Q11" i="3"/>
  <c r="Q13" i="8"/>
  <c r="S13" i="8"/>
  <c r="S11" i="3"/>
  <c r="L11" i="3"/>
  <c r="L13" i="8"/>
  <c r="Z13" i="8"/>
  <c r="Z11" i="3"/>
  <c r="S18" i="3" l="1"/>
  <c r="S24" i="3" s="1"/>
  <c r="S26" i="3"/>
  <c r="K18" i="3"/>
  <c r="K24" i="3" s="1"/>
  <c r="K26" i="3"/>
  <c r="AA26" i="3"/>
  <c r="AA18" i="3"/>
  <c r="AA24" i="3" s="1"/>
  <c r="W18" i="8"/>
  <c r="V8" i="5"/>
  <c r="V17" i="5"/>
  <c r="Y18" i="3"/>
  <c r="Y24" i="3" s="1"/>
  <c r="Y26" i="3"/>
  <c r="L8" i="5"/>
  <c r="M18" i="8"/>
  <c r="L17" i="5"/>
  <c r="S17" i="5"/>
  <c r="S8" i="5"/>
  <c r="T18" i="8"/>
  <c r="N26" i="3"/>
  <c r="N18" i="3"/>
  <c r="N24" i="3" s="1"/>
  <c r="W26" i="3"/>
  <c r="W18" i="3"/>
  <c r="W24" i="3" s="1"/>
  <c r="J8" i="5"/>
  <c r="K18" i="8"/>
  <c r="J17" i="5"/>
  <c r="S18" i="8"/>
  <c r="R17" i="5"/>
  <c r="R8" i="5"/>
  <c r="Q18" i="8"/>
  <c r="P8" i="5"/>
  <c r="P17" i="5"/>
  <c r="I8" i="5"/>
  <c r="J18" i="8"/>
  <c r="I17" i="5"/>
  <c r="Q18" i="3"/>
  <c r="Q24" i="3" s="1"/>
  <c r="Q26" i="3"/>
  <c r="Y18" i="8"/>
  <c r="X17" i="5"/>
  <c r="X8" i="5"/>
  <c r="T17" i="5"/>
  <c r="U18" i="8"/>
  <c r="T8" i="5"/>
  <c r="N18" i="8"/>
  <c r="M17" i="5"/>
  <c r="M8" i="5"/>
  <c r="Z26" i="3"/>
  <c r="Z18" i="3"/>
  <c r="Z24" i="3" s="1"/>
  <c r="J18" i="3"/>
  <c r="J24" i="3" s="1"/>
  <c r="J26" i="3"/>
  <c r="Z8" i="5"/>
  <c r="Z17" i="5"/>
  <c r="AA18" i="8"/>
  <c r="U26" i="3"/>
  <c r="U18" i="3"/>
  <c r="U24" i="3" s="1"/>
  <c r="M26" i="3"/>
  <c r="M18" i="3"/>
  <c r="M24" i="3" s="1"/>
  <c r="X18" i="3"/>
  <c r="X24" i="3" s="1"/>
  <c r="X26" i="3"/>
  <c r="W8" i="5"/>
  <c r="X18" i="8"/>
  <c r="W17" i="5"/>
  <c r="I18" i="3"/>
  <c r="I24" i="3" s="1"/>
  <c r="I26" i="3"/>
  <c r="R18" i="3"/>
  <c r="R24" i="3" s="1"/>
  <c r="R26" i="3"/>
  <c r="K8" i="5"/>
  <c r="L18" i="8"/>
  <c r="K17" i="5"/>
  <c r="G17" i="5"/>
  <c r="H18" i="8"/>
  <c r="D13" i="6"/>
  <c r="G8" i="5"/>
  <c r="G15" i="4" s="1"/>
  <c r="U17" i="5"/>
  <c r="U8" i="5"/>
  <c r="V18" i="8"/>
  <c r="T18" i="3"/>
  <c r="T24" i="3" s="1"/>
  <c r="T26" i="3"/>
  <c r="H8" i="5"/>
  <c r="I18" i="8"/>
  <c r="H17" i="5"/>
  <c r="P26" i="3"/>
  <c r="P18" i="3"/>
  <c r="P24" i="3" s="1"/>
  <c r="Q17" i="5"/>
  <c r="R18" i="8"/>
  <c r="Q8" i="5"/>
  <c r="Z18" i="8"/>
  <c r="Y17" i="5"/>
  <c r="Y8" i="5"/>
  <c r="O8" i="5"/>
  <c r="O17" i="5"/>
  <c r="E13" i="6"/>
  <c r="P18" i="8"/>
  <c r="N17" i="5"/>
  <c r="O18" i="8"/>
  <c r="N8" i="5"/>
  <c r="L26" i="3"/>
  <c r="L18" i="3"/>
  <c r="L24" i="3" s="1"/>
  <c r="H26" i="3"/>
  <c r="H18" i="3"/>
  <c r="H24" i="3" s="1"/>
  <c r="O26" i="3"/>
  <c r="O18" i="3"/>
  <c r="O24" i="3" s="1"/>
  <c r="V18" i="3"/>
  <c r="V24" i="3" s="1"/>
  <c r="V26" i="3"/>
  <c r="Y15" i="4" l="1"/>
  <c r="V15" i="4"/>
  <c r="T15" i="4"/>
  <c r="Q15" i="4"/>
  <c r="M15" i="4"/>
  <c r="W15" i="4"/>
  <c r="J15" i="4"/>
  <c r="K15" i="4"/>
  <c r="S15" i="4"/>
  <c r="J20" i="5"/>
  <c r="K14" i="4"/>
  <c r="L15" i="4"/>
  <c r="J13" i="4"/>
  <c r="K51" i="8"/>
  <c r="K20" i="8"/>
  <c r="K29" i="8" s="1"/>
  <c r="K42" i="8" s="1"/>
  <c r="N15" i="4"/>
  <c r="C8" i="13"/>
  <c r="X20" i="8"/>
  <c r="X29" i="8" s="1"/>
  <c r="X42" i="8" s="1"/>
  <c r="W13" i="4"/>
  <c r="X51" i="8"/>
  <c r="R14" i="4"/>
  <c r="Q20" i="5"/>
  <c r="I20" i="5"/>
  <c r="J14" i="4"/>
  <c r="V20" i="5"/>
  <c r="W14" i="4"/>
  <c r="V14" i="4"/>
  <c r="U20" i="5"/>
  <c r="X14" i="4"/>
  <c r="W20" i="5"/>
  <c r="X13" i="4"/>
  <c r="Y20" i="8"/>
  <c r="Y29" i="8" s="1"/>
  <c r="Y42" i="8" s="1"/>
  <c r="Y51" i="8"/>
  <c r="Q13" i="4"/>
  <c r="R20" i="8"/>
  <c r="R29" i="8" s="1"/>
  <c r="R42" i="8" s="1"/>
  <c r="R51" i="8"/>
  <c r="G13" i="4"/>
  <c r="D18" i="6"/>
  <c r="H51" i="8"/>
  <c r="H20" i="8"/>
  <c r="N20" i="5"/>
  <c r="C20" i="13" s="1"/>
  <c r="C17" i="13"/>
  <c r="O14" i="4"/>
  <c r="G14" i="4"/>
  <c r="H14" i="4"/>
  <c r="G20" i="5"/>
  <c r="J51" i="8"/>
  <c r="I13" i="4"/>
  <c r="J20" i="8"/>
  <c r="J29" i="8" s="1"/>
  <c r="J42" i="8" s="1"/>
  <c r="N13" i="4"/>
  <c r="O20" i="8"/>
  <c r="O29" i="8" s="1"/>
  <c r="O42" i="8" s="1"/>
  <c r="O51" i="8"/>
  <c r="P20" i="8"/>
  <c r="O13" i="4"/>
  <c r="E18" i="6"/>
  <c r="P51" i="8"/>
  <c r="I14" i="4"/>
  <c r="H20" i="5"/>
  <c r="L14" i="4"/>
  <c r="K20" i="5"/>
  <c r="N14" i="4"/>
  <c r="M20" i="5"/>
  <c r="I15" i="4"/>
  <c r="V13" i="4"/>
  <c r="W20" i="8"/>
  <c r="W29" i="8" s="1"/>
  <c r="W42" i="8" s="1"/>
  <c r="W51" i="8"/>
  <c r="L51" i="8"/>
  <c r="K13" i="4"/>
  <c r="L20" i="8"/>
  <c r="L29" i="8" s="1"/>
  <c r="L42" i="8" s="1"/>
  <c r="N20" i="8"/>
  <c r="N29" i="8" s="1"/>
  <c r="N42" i="8" s="1"/>
  <c r="N51" i="8"/>
  <c r="M13" i="4"/>
  <c r="P20" i="5"/>
  <c r="Q14" i="4"/>
  <c r="T51" i="8"/>
  <c r="S13" i="4"/>
  <c r="T20" i="8"/>
  <c r="T29" i="8" s="1"/>
  <c r="T42" i="8" s="1"/>
  <c r="T13" i="4"/>
  <c r="U20" i="8"/>
  <c r="U29" i="8" s="1"/>
  <c r="U42" i="8" s="1"/>
  <c r="U51" i="8"/>
  <c r="Q51" i="8"/>
  <c r="P13" i="4"/>
  <c r="Q20" i="8"/>
  <c r="Q29" i="8" s="1"/>
  <c r="Q42" i="8" s="1"/>
  <c r="P14" i="4"/>
  <c r="O20" i="5"/>
  <c r="O15" i="4"/>
  <c r="AA20" i="8"/>
  <c r="AA29" i="8" s="1"/>
  <c r="AA42" i="8" s="1"/>
  <c r="AA51" i="8"/>
  <c r="Z13" i="4"/>
  <c r="U14" i="4"/>
  <c r="T20" i="5"/>
  <c r="R15" i="4"/>
  <c r="T14" i="4"/>
  <c r="S20" i="5"/>
  <c r="I51" i="8"/>
  <c r="H13" i="4"/>
  <c r="I20" i="8"/>
  <c r="I29" i="8" s="1"/>
  <c r="I42" i="8" s="1"/>
  <c r="H15" i="4"/>
  <c r="D17" i="13"/>
  <c r="AA14" i="4"/>
  <c r="Z20" i="5"/>
  <c r="D20" i="13" s="1"/>
  <c r="X15" i="4"/>
  <c r="S14" i="4"/>
  <c r="R20" i="5"/>
  <c r="M14" i="4"/>
  <c r="L20" i="5"/>
  <c r="P15" i="4"/>
  <c r="Z14" i="4"/>
  <c r="Y20" i="5"/>
  <c r="V20" i="8"/>
  <c r="V29" i="8" s="1"/>
  <c r="V42" i="8" s="1"/>
  <c r="V51" i="8"/>
  <c r="U13" i="4"/>
  <c r="Y13" i="4"/>
  <c r="Z20" i="8"/>
  <c r="Z29" i="8" s="1"/>
  <c r="Z42" i="8" s="1"/>
  <c r="Z51" i="8"/>
  <c r="U15" i="4"/>
  <c r="Z15" i="4"/>
  <c r="AA15" i="4"/>
  <c r="E15" i="12" s="1"/>
  <c r="D8" i="13"/>
  <c r="X20" i="5"/>
  <c r="Y14" i="4"/>
  <c r="S51" i="8"/>
  <c r="S20" i="8"/>
  <c r="S29" i="8" s="1"/>
  <c r="S42" i="8" s="1"/>
  <c r="R13" i="4"/>
  <c r="L13" i="4"/>
  <c r="M20" i="8"/>
  <c r="M29" i="8" s="1"/>
  <c r="M42" i="8" s="1"/>
  <c r="M51" i="8"/>
  <c r="K18" i="4" l="1"/>
  <c r="K20" i="4" s="1"/>
  <c r="T18" i="4"/>
  <c r="T20" i="4" s="1"/>
  <c r="L18" i="4"/>
  <c r="L20" i="4" s="1"/>
  <c r="N18" i="4"/>
  <c r="N20" i="4" s="1"/>
  <c r="V18" i="4"/>
  <c r="V20" i="4" s="1"/>
  <c r="D14" i="12"/>
  <c r="X18" i="4"/>
  <c r="X20" i="4" s="1"/>
  <c r="W18" i="4"/>
  <c r="W20" i="4" s="1"/>
  <c r="D15" i="12"/>
  <c r="C15" i="12"/>
  <c r="M18" i="4"/>
  <c r="M20" i="4" s="1"/>
  <c r="C14" i="12"/>
  <c r="D13" i="12"/>
  <c r="O18" i="4"/>
  <c r="Y18" i="4"/>
  <c r="Y20" i="4" s="1"/>
  <c r="Z18" i="4"/>
  <c r="Z20" i="4" s="1"/>
  <c r="P29" i="8"/>
  <c r="E20" i="6"/>
  <c r="S18" i="4"/>
  <c r="S20" i="4" s="1"/>
  <c r="D20" i="6"/>
  <c r="H29" i="8"/>
  <c r="G18" i="4"/>
  <c r="C13" i="12"/>
  <c r="I18" i="4"/>
  <c r="I20" i="4" s="1"/>
  <c r="J18" i="4"/>
  <c r="J20" i="4" s="1"/>
  <c r="U18" i="4"/>
  <c r="U20" i="4" s="1"/>
  <c r="AA18" i="4"/>
  <c r="E14" i="12"/>
  <c r="R18" i="4"/>
  <c r="R20" i="4" s="1"/>
  <c r="P18" i="4"/>
  <c r="P20" i="4" s="1"/>
  <c r="Q18" i="4"/>
  <c r="Q20" i="4" s="1"/>
  <c r="H18" i="4"/>
  <c r="H20" i="4" s="1"/>
  <c r="D29" i="6" l="1"/>
  <c r="H42" i="8"/>
  <c r="C18" i="12"/>
  <c r="G20" i="4"/>
  <c r="O20" i="4"/>
  <c r="D18" i="12"/>
  <c r="P42" i="8"/>
  <c r="E29" i="6"/>
  <c r="AA20" i="4"/>
  <c r="E18" i="12"/>
  <c r="D20" i="12" l="1"/>
  <c r="G27" i="4"/>
  <c r="C20" i="12"/>
  <c r="G29" i="4"/>
  <c r="E20" i="12"/>
  <c r="H47" i="8"/>
  <c r="D42" i="6"/>
  <c r="E42" i="6"/>
  <c r="G24" i="5" l="1"/>
  <c r="H5" i="4"/>
  <c r="G6" i="5"/>
  <c r="G14" i="5" s="1"/>
  <c r="I44" i="8" l="1"/>
  <c r="G25" i="5"/>
  <c r="G27" i="5" s="1"/>
  <c r="G29" i="5" s="1"/>
  <c r="H23" i="4" l="1"/>
  <c r="I47" i="8"/>
  <c r="H24" i="5" l="1"/>
  <c r="H27" i="4"/>
  <c r="H29" i="4"/>
  <c r="H25" i="5" l="1"/>
  <c r="H27" i="5" s="1"/>
  <c r="I5" i="4"/>
  <c r="H6" i="5"/>
  <c r="H14" i="5" s="1"/>
  <c r="H29" i="5" l="1"/>
  <c r="J44" i="8"/>
  <c r="I23" i="4" l="1"/>
  <c r="J47" i="8"/>
  <c r="I24" i="5" l="1"/>
  <c r="I27" i="4"/>
  <c r="I29" i="4"/>
  <c r="I25" i="5" l="1"/>
  <c r="I27" i="5" s="1"/>
  <c r="J5" i="4"/>
  <c r="I6" i="5"/>
  <c r="I14" i="5" s="1"/>
  <c r="I29" i="5" l="1"/>
  <c r="K44" i="8"/>
  <c r="J23" i="4" l="1"/>
  <c r="K47" i="8"/>
  <c r="J24" i="5" l="1"/>
  <c r="J27" i="4"/>
  <c r="J29" i="4"/>
  <c r="K5" i="4" l="1"/>
  <c r="J6" i="5"/>
  <c r="J14" i="5" s="1"/>
  <c r="J25" i="5"/>
  <c r="J27" i="5" s="1"/>
  <c r="J29" i="5" l="1"/>
  <c r="L44" i="8"/>
  <c r="K23" i="4" l="1"/>
  <c r="L47" i="8"/>
  <c r="K24" i="5" l="1"/>
  <c r="K27" i="4"/>
  <c r="K29" i="4"/>
  <c r="K6" i="5" l="1"/>
  <c r="K14" i="5" s="1"/>
  <c r="L5" i="4"/>
  <c r="K25" i="5"/>
  <c r="K27" i="5" s="1"/>
  <c r="M44" i="8" l="1"/>
  <c r="K29" i="5"/>
  <c r="L23" i="4" l="1"/>
  <c r="M47" i="8"/>
  <c r="L24" i="5" s="1"/>
  <c r="L25" i="5" l="1"/>
  <c r="L27" i="5" s="1"/>
  <c r="L27" i="4"/>
  <c r="L29" i="4"/>
  <c r="L6" i="5" l="1"/>
  <c r="L14" i="5" s="1"/>
  <c r="L29" i="5" s="1"/>
  <c r="M5" i="4"/>
  <c r="N44" i="8" l="1"/>
  <c r="M23" i="4" l="1"/>
  <c r="N47" i="8"/>
  <c r="M24" i="5" s="1"/>
  <c r="M25" i="5" l="1"/>
  <c r="M27" i="5" s="1"/>
  <c r="M27" i="4"/>
  <c r="M29" i="4"/>
  <c r="M6" i="5" l="1"/>
  <c r="M14" i="5" s="1"/>
  <c r="M29" i="5" s="1"/>
  <c r="N5" i="4"/>
  <c r="O44" i="8" l="1"/>
  <c r="N23" i="4" l="1"/>
  <c r="O47" i="8"/>
  <c r="D44" i="6"/>
  <c r="D47" i="6" l="1"/>
  <c r="N24" i="5"/>
  <c r="N27" i="4"/>
  <c r="C23" i="12"/>
  <c r="N29" i="4"/>
  <c r="N25" i="5" l="1"/>
  <c r="C24" i="13"/>
  <c r="C27" i="12"/>
  <c r="N6" i="5"/>
  <c r="O5" i="4"/>
  <c r="C29" i="12"/>
  <c r="D5" i="12" l="1"/>
  <c r="P44" i="8"/>
  <c r="N14" i="5"/>
  <c r="C6" i="13"/>
  <c r="C25" i="13"/>
  <c r="N27" i="5"/>
  <c r="C27" i="13" s="1"/>
  <c r="O23" i="4" l="1"/>
  <c r="P47" i="8"/>
  <c r="C14" i="13"/>
  <c r="C29" i="13" s="1"/>
  <c r="N29" i="5"/>
  <c r="O24" i="5" l="1"/>
  <c r="O27" i="4"/>
  <c r="O29" i="4"/>
  <c r="O25" i="5" l="1"/>
  <c r="O27" i="5" s="1"/>
  <c r="O6" i="5"/>
  <c r="O14" i="5" s="1"/>
  <c r="P5" i="4"/>
  <c r="Q44" i="8" l="1"/>
  <c r="O29" i="5"/>
  <c r="P23" i="4" l="1"/>
  <c r="Q47" i="8"/>
  <c r="P24" i="5" l="1"/>
  <c r="P27" i="4"/>
  <c r="P29" i="4"/>
  <c r="P6" i="5" l="1"/>
  <c r="P14" i="5" s="1"/>
  <c r="Q5" i="4"/>
  <c r="P25" i="5"/>
  <c r="P27" i="5" s="1"/>
  <c r="R44" i="8" l="1"/>
  <c r="P29" i="5"/>
  <c r="Q23" i="4" l="1"/>
  <c r="R47" i="8"/>
  <c r="Q24" i="5" l="1"/>
  <c r="Q27" i="4"/>
  <c r="Q29" i="4"/>
  <c r="Q6" i="5" l="1"/>
  <c r="Q14" i="5" s="1"/>
  <c r="R5" i="4"/>
  <c r="Q25" i="5"/>
  <c r="Q27" i="5" s="1"/>
  <c r="S44" i="8" l="1"/>
  <c r="Q29" i="5"/>
  <c r="R23" i="4" l="1"/>
  <c r="S47" i="8"/>
  <c r="R24" i="5" l="1"/>
  <c r="R27" i="4"/>
  <c r="R29" i="4"/>
  <c r="R6" i="5" l="1"/>
  <c r="R14" i="5" s="1"/>
  <c r="S5" i="4"/>
  <c r="R25" i="5"/>
  <c r="R27" i="5" s="1"/>
  <c r="T44" i="8" l="1"/>
  <c r="R29" i="5"/>
  <c r="S23" i="4" l="1"/>
  <c r="T47" i="8"/>
  <c r="S24" i="5" l="1"/>
  <c r="S27" i="4"/>
  <c r="S29" i="4"/>
  <c r="T5" i="4" l="1"/>
  <c r="S6" i="5"/>
  <c r="S14" i="5" s="1"/>
  <c r="S25" i="5"/>
  <c r="S27" i="5" s="1"/>
  <c r="S29" i="5" l="1"/>
  <c r="U44" i="8"/>
  <c r="T23" i="4" l="1"/>
  <c r="U47" i="8"/>
  <c r="T24" i="5" s="1"/>
  <c r="T25" i="5" l="1"/>
  <c r="T27" i="5" s="1"/>
  <c r="T27" i="4"/>
  <c r="T29" i="4"/>
  <c r="U5" i="4" l="1"/>
  <c r="T6" i="5"/>
  <c r="T14" i="5" s="1"/>
  <c r="T29" i="5" s="1"/>
  <c r="V44" i="8" l="1"/>
  <c r="U23" i="4" l="1"/>
  <c r="V47" i="8"/>
  <c r="U24" i="5" s="1"/>
  <c r="U25" i="5" l="1"/>
  <c r="U27" i="5" s="1"/>
  <c r="U27" i="4"/>
  <c r="U29" i="4"/>
  <c r="V5" i="4" l="1"/>
  <c r="U6" i="5"/>
  <c r="U14" i="5" s="1"/>
  <c r="U29" i="5" s="1"/>
  <c r="W44" i="8" l="1"/>
  <c r="V23" i="4" l="1"/>
  <c r="W47" i="8"/>
  <c r="V24" i="5" s="1"/>
  <c r="V25" i="5" l="1"/>
  <c r="V27" i="5" s="1"/>
  <c r="V27" i="4"/>
  <c r="V29" i="4"/>
  <c r="V6" i="5" l="1"/>
  <c r="V14" i="5" s="1"/>
  <c r="V29" i="5" s="1"/>
  <c r="W5" i="4"/>
  <c r="X44" i="8" l="1"/>
  <c r="W23" i="4" l="1"/>
  <c r="X47" i="8"/>
  <c r="W24" i="5" s="1"/>
  <c r="W25" i="5" l="1"/>
  <c r="W27" i="5" s="1"/>
  <c r="W27" i="4"/>
  <c r="W29" i="4"/>
  <c r="X5" i="4" l="1"/>
  <c r="W6" i="5"/>
  <c r="W14" i="5" s="1"/>
  <c r="W29" i="5" s="1"/>
  <c r="Y44" i="8" l="1"/>
  <c r="X23" i="4" l="1"/>
  <c r="Y47" i="8"/>
  <c r="X24" i="5" s="1"/>
  <c r="X25" i="5" l="1"/>
  <c r="X27" i="5" s="1"/>
  <c r="X27" i="4"/>
  <c r="X29" i="4"/>
  <c r="X6" i="5" l="1"/>
  <c r="X14" i="5" s="1"/>
  <c r="X29" i="5" s="1"/>
  <c r="Y5" i="4"/>
  <c r="Z44" i="8" l="1"/>
  <c r="Y23" i="4" l="1"/>
  <c r="Z47" i="8"/>
  <c r="Y24" i="5" s="1"/>
  <c r="Y25" i="5" l="1"/>
  <c r="Y27" i="5" s="1"/>
  <c r="Y27" i="4"/>
  <c r="Y29" i="4"/>
  <c r="Z5" i="4" l="1"/>
  <c r="Y6" i="5"/>
  <c r="Y14" i="5" s="1"/>
  <c r="Y29" i="5" s="1"/>
  <c r="AA44" i="8" l="1"/>
  <c r="Z23" i="4" l="1"/>
  <c r="AA47" i="8"/>
  <c r="E44" i="6"/>
  <c r="E47" i="6" l="1"/>
  <c r="Z24" i="5"/>
  <c r="Z27" i="4"/>
  <c r="D23" i="12"/>
  <c r="Z29" i="4"/>
  <c r="D27" i="12" l="1"/>
  <c r="AA5" i="4"/>
  <c r="Z6" i="5"/>
  <c r="D29" i="12"/>
  <c r="D24" i="13"/>
  <c r="Z25" i="5"/>
  <c r="D25" i="13" l="1"/>
  <c r="Z27" i="5"/>
  <c r="D27" i="13" s="1"/>
  <c r="Z14" i="5"/>
  <c r="D6" i="13"/>
  <c r="E5" i="12"/>
  <c r="AB44" i="8"/>
  <c r="AA23" i="4" l="1"/>
  <c r="AB47" i="8"/>
  <c r="D14" i="13"/>
  <c r="D29" i="13" s="1"/>
  <c r="Z29" i="5"/>
  <c r="AA24" i="5" l="1"/>
  <c r="AA27" i="4"/>
  <c r="AA29" i="4"/>
  <c r="AB5" i="4" l="1"/>
  <c r="AA6" i="5"/>
  <c r="AA14" i="5" s="1"/>
  <c r="AA25" i="5"/>
  <c r="AA27" i="5" s="1"/>
  <c r="AA29" i="5" l="1"/>
  <c r="AC44" i="8"/>
  <c r="AC47" i="8" l="1"/>
  <c r="AB23" i="4"/>
  <c r="AB27" i="4" l="1"/>
  <c r="AB29" i="4"/>
  <c r="AB24" i="5"/>
  <c r="AB25" i="5" l="1"/>
  <c r="AB27" i="5" s="1"/>
  <c r="AC5" i="4"/>
  <c r="AB6" i="5"/>
  <c r="AB14" i="5" s="1"/>
  <c r="AB29" i="5" l="1"/>
  <c r="AD44" i="8"/>
  <c r="AD47" i="8" l="1"/>
  <c r="AC23" i="4"/>
  <c r="AC27" i="4" l="1"/>
  <c r="AC29" i="4"/>
  <c r="AC24" i="5"/>
  <c r="AD5" i="4" l="1"/>
  <c r="AC6" i="5"/>
  <c r="AC14" i="5" s="1"/>
  <c r="AC25" i="5"/>
  <c r="AC27" i="5" s="1"/>
  <c r="AC29" i="5" l="1"/>
  <c r="AE44" i="8"/>
  <c r="AE47" i="8" l="1"/>
  <c r="AD23" i="4"/>
  <c r="AD27" i="4" l="1"/>
  <c r="AD29" i="4"/>
  <c r="AD24" i="5"/>
  <c r="AD25" i="5" l="1"/>
  <c r="AD27" i="5" s="1"/>
  <c r="AD6" i="5"/>
  <c r="AD14" i="5" s="1"/>
  <c r="AE5" i="4"/>
  <c r="AF44" i="8" l="1"/>
  <c r="AD29" i="5"/>
  <c r="AF47" i="8" l="1"/>
  <c r="AE23" i="4"/>
  <c r="AE27" i="4" l="1"/>
  <c r="AE29" i="4"/>
  <c r="AE24" i="5"/>
  <c r="AE25" i="5" l="1"/>
  <c r="AE27" i="5" s="1"/>
  <c r="AE6" i="5"/>
  <c r="AE14" i="5" s="1"/>
  <c r="AF5" i="4"/>
  <c r="AE29" i="5" l="1"/>
  <c r="AG44" i="8"/>
  <c r="AG47" i="8" l="1"/>
  <c r="AF24" i="5" s="1"/>
  <c r="AF23" i="4"/>
  <c r="AF27" i="4" l="1"/>
  <c r="AF29" i="4"/>
  <c r="AF25" i="5"/>
  <c r="AF27" i="5" s="1"/>
  <c r="AF6" i="5" l="1"/>
  <c r="AF14" i="5" s="1"/>
  <c r="AF29" i="5" s="1"/>
  <c r="AG5" i="4"/>
  <c r="AH44" i="8" l="1"/>
  <c r="AH47" i="8" l="1"/>
  <c r="AG24" i="5" s="1"/>
  <c r="AG23" i="4"/>
  <c r="AG27" i="4" l="1"/>
  <c r="AG29" i="4"/>
  <c r="AG25" i="5"/>
  <c r="AG27" i="5" s="1"/>
  <c r="AG6" i="5" l="1"/>
  <c r="AG14" i="5" s="1"/>
  <c r="AG29" i="5" s="1"/>
  <c r="AH5" i="4"/>
  <c r="AI44" i="8" l="1"/>
  <c r="AI47" i="8" l="1"/>
  <c r="AH24" i="5" s="1"/>
  <c r="AH23" i="4"/>
  <c r="AH27" i="4" l="1"/>
  <c r="AH29" i="4"/>
  <c r="AH25" i="5"/>
  <c r="AH27" i="5" s="1"/>
  <c r="AH6" i="5" l="1"/>
  <c r="AH14" i="5" s="1"/>
  <c r="AH29" i="5" s="1"/>
  <c r="AI5" i="4"/>
  <c r="AJ44" i="8" l="1"/>
  <c r="AJ47" i="8" l="1"/>
  <c r="AI24" i="5" s="1"/>
  <c r="AI23" i="4"/>
  <c r="AI27" i="4" l="1"/>
  <c r="AI29" i="4"/>
  <c r="AI25" i="5"/>
  <c r="AI27" i="5" s="1"/>
  <c r="AI6" i="5" l="1"/>
  <c r="AI14" i="5" s="1"/>
  <c r="AI29" i="5" s="1"/>
  <c r="AJ5" i="4"/>
  <c r="AK44" i="8" l="1"/>
  <c r="AK47" i="8" l="1"/>
  <c r="AJ24" i="5" s="1"/>
  <c r="AJ23" i="4"/>
  <c r="AJ27" i="4" l="1"/>
  <c r="AJ29" i="4"/>
  <c r="AJ25" i="5"/>
  <c r="AJ27" i="5" s="1"/>
  <c r="AJ6" i="5" l="1"/>
  <c r="AJ14" i="5" s="1"/>
  <c r="AJ29" i="5" s="1"/>
  <c r="AK5" i="4"/>
  <c r="AL44" i="8" l="1"/>
  <c r="AL47" i="8" l="1"/>
  <c r="AK24" i="5" s="1"/>
  <c r="AK23" i="4"/>
  <c r="AK27" i="4" l="1"/>
  <c r="AK29" i="4"/>
  <c r="AK25" i="5"/>
  <c r="AK27" i="5" s="1"/>
  <c r="AK6" i="5" l="1"/>
  <c r="AK14" i="5" s="1"/>
  <c r="AK29" i="5" s="1"/>
  <c r="AL5" i="4"/>
  <c r="AM44" i="8" l="1"/>
  <c r="AM47" i="8" l="1"/>
  <c r="AL23" i="4"/>
  <c r="F44" i="6"/>
  <c r="AL27" i="4" l="1"/>
  <c r="E23" i="12"/>
  <c r="AL29" i="4"/>
  <c r="F47" i="6"/>
  <c r="AL24" i="5"/>
  <c r="E24" i="13" l="1"/>
  <c r="AL25" i="5"/>
  <c r="E27" i="12"/>
  <c r="AL6" i="5"/>
  <c r="AM5" i="4"/>
  <c r="E29" i="12"/>
  <c r="F5" i="12" l="1"/>
  <c r="AN44" i="8"/>
  <c r="AL14" i="5"/>
  <c r="E6" i="13"/>
  <c r="E25" i="13"/>
  <c r="AL27" i="5"/>
  <c r="E27" i="13" s="1"/>
  <c r="E14" i="13" l="1"/>
  <c r="E29" i="13" s="1"/>
  <c r="AL29" i="5"/>
  <c r="AN47" i="8"/>
  <c r="AM23" i="4"/>
  <c r="AM27" i="4" l="1"/>
  <c r="AM29" i="4"/>
  <c r="AM24" i="5"/>
  <c r="AM25" i="5" l="1"/>
  <c r="AM27" i="5" s="1"/>
  <c r="AM6" i="5"/>
  <c r="AM14" i="5" s="1"/>
  <c r="AN5" i="4"/>
  <c r="AO44" i="8" l="1"/>
  <c r="AM29" i="5"/>
  <c r="AN23" i="4" l="1"/>
  <c r="AO47" i="8"/>
  <c r="AN24" i="5" l="1"/>
  <c r="AN27" i="4"/>
  <c r="AN29" i="4"/>
  <c r="AN6" i="5" l="1"/>
  <c r="AN14" i="5" s="1"/>
  <c r="AO5" i="4"/>
  <c r="AN25" i="5"/>
  <c r="AN27" i="5" s="1"/>
  <c r="AP44" i="8" l="1"/>
  <c r="AN29" i="5"/>
  <c r="AO23" i="4" l="1"/>
  <c r="AP47" i="8"/>
  <c r="AO24" i="5" l="1"/>
  <c r="AO27" i="4"/>
  <c r="AO29" i="4"/>
  <c r="AO6" i="5" l="1"/>
  <c r="AO14" i="5" s="1"/>
  <c r="AP5" i="4"/>
  <c r="AO25" i="5"/>
  <c r="AO27" i="5" s="1"/>
  <c r="AQ44" i="8" l="1"/>
  <c r="AO29" i="5"/>
  <c r="AP23" i="4" l="1"/>
  <c r="AQ47" i="8"/>
  <c r="AP24" i="5" l="1"/>
  <c r="AP27" i="4"/>
  <c r="AP29" i="4"/>
  <c r="AQ5" i="4" l="1"/>
  <c r="AP6" i="5"/>
  <c r="AP14" i="5" s="1"/>
  <c r="AP25" i="5"/>
  <c r="AP27" i="5" s="1"/>
  <c r="AP29" i="5" l="1"/>
  <c r="AR44" i="8"/>
  <c r="AQ23" i="4" l="1"/>
  <c r="AR47" i="8"/>
  <c r="AQ24" i="5" l="1"/>
  <c r="AQ27" i="4"/>
  <c r="AQ29" i="4"/>
  <c r="AQ6" i="5" l="1"/>
  <c r="AQ14" i="5" s="1"/>
  <c r="AR5" i="4"/>
  <c r="AQ25" i="5"/>
  <c r="AQ27" i="5" s="1"/>
  <c r="AS44" i="8" l="1"/>
  <c r="AQ29" i="5"/>
  <c r="AR23" i="4" l="1"/>
  <c r="AS47" i="8"/>
  <c r="AR24" i="5" s="1"/>
  <c r="AR25" i="5" l="1"/>
  <c r="AR27" i="5" s="1"/>
  <c r="AR27" i="4"/>
  <c r="AR29" i="4"/>
  <c r="AR6" i="5" l="1"/>
  <c r="AR14" i="5" s="1"/>
  <c r="AR29" i="5" s="1"/>
  <c r="AS5" i="4"/>
  <c r="AT44" i="8" l="1"/>
  <c r="AS23" i="4" l="1"/>
  <c r="AT47" i="8"/>
  <c r="AS24" i="5" s="1"/>
  <c r="AS25" i="5" l="1"/>
  <c r="AS27" i="5" s="1"/>
  <c r="AS27" i="4"/>
  <c r="AS29" i="4"/>
  <c r="AS6" i="5" l="1"/>
  <c r="AS14" i="5" s="1"/>
  <c r="AS29" i="5" s="1"/>
  <c r="AT5" i="4"/>
  <c r="AU44" i="8" l="1"/>
  <c r="AT23" i="4" l="1"/>
  <c r="AU47" i="8"/>
  <c r="AT24" i="5" s="1"/>
  <c r="AT25" i="5" l="1"/>
  <c r="AT27" i="5" s="1"/>
  <c r="AT27" i="4"/>
  <c r="AT29" i="4"/>
  <c r="AT6" i="5" l="1"/>
  <c r="AT14" i="5" s="1"/>
  <c r="AT29" i="5" s="1"/>
  <c r="AU5" i="4"/>
  <c r="AV44" i="8" l="1"/>
  <c r="AU23" i="4" l="1"/>
  <c r="AV47" i="8"/>
  <c r="AU24" i="5" s="1"/>
  <c r="AU25" i="5" l="1"/>
  <c r="AU27" i="5" s="1"/>
  <c r="AU27" i="4"/>
  <c r="AU29" i="4"/>
  <c r="AU6" i="5" l="1"/>
  <c r="AU14" i="5" s="1"/>
  <c r="AU29" i="5" s="1"/>
  <c r="AV5" i="4"/>
  <c r="AW44" i="8" l="1"/>
  <c r="AV23" i="4" l="1"/>
  <c r="AW47" i="8"/>
  <c r="AV24" i="5" s="1"/>
  <c r="AV25" i="5" l="1"/>
  <c r="AV27" i="5" s="1"/>
  <c r="AV27" i="4"/>
  <c r="AV29" i="4"/>
  <c r="AV6" i="5" l="1"/>
  <c r="AV14" i="5" s="1"/>
  <c r="AV29" i="5" s="1"/>
  <c r="AW5" i="4"/>
  <c r="AX44" i="8" l="1"/>
  <c r="AW23" i="4" l="1"/>
  <c r="AX47" i="8"/>
  <c r="AW24" i="5" s="1"/>
  <c r="AW25" i="5" l="1"/>
  <c r="AW27" i="5" s="1"/>
  <c r="AW27" i="4"/>
  <c r="AW29" i="4"/>
  <c r="AW6" i="5" l="1"/>
  <c r="AW14" i="5" s="1"/>
  <c r="AW29" i="5" s="1"/>
  <c r="AX5" i="4"/>
  <c r="AY44" i="8" l="1"/>
  <c r="AX23" i="4" l="1"/>
  <c r="AY47" i="8"/>
  <c r="G44" i="6"/>
  <c r="G47" i="6" l="1"/>
  <c r="AX24" i="5"/>
  <c r="AX27" i="4"/>
  <c r="F23" i="12"/>
  <c r="AX29" i="4"/>
  <c r="F27" i="12" l="1"/>
  <c r="AX6" i="5"/>
  <c r="AY5" i="4"/>
  <c r="F29" i="12"/>
  <c r="F24" i="13"/>
  <c r="AX25" i="5"/>
  <c r="F25" i="13" l="1"/>
  <c r="AX27" i="5"/>
  <c r="F27" i="13" s="1"/>
  <c r="AX14" i="5"/>
  <c r="F6" i="13"/>
  <c r="AZ44" i="8"/>
  <c r="G5" i="12"/>
  <c r="AZ47" i="8" l="1"/>
  <c r="AY23" i="4"/>
  <c r="F14" i="13"/>
  <c r="F29" i="13" s="1"/>
  <c r="AX29" i="5"/>
  <c r="AY27" i="4" l="1"/>
  <c r="AY29" i="4"/>
  <c r="AY24" i="5"/>
  <c r="AY6" i="5" l="1"/>
  <c r="AY14" i="5" s="1"/>
  <c r="AZ5" i="4"/>
  <c r="AY25" i="5"/>
  <c r="AY27" i="5" s="1"/>
  <c r="BA44" i="8" l="1"/>
  <c r="AY29" i="5"/>
  <c r="AZ23" i="4" l="1"/>
  <c r="BA47" i="8"/>
  <c r="AZ24" i="5" l="1"/>
  <c r="AZ27" i="4"/>
  <c r="AZ29" i="4"/>
  <c r="AZ6" i="5" l="1"/>
  <c r="AZ14" i="5" s="1"/>
  <c r="BA5" i="4"/>
  <c r="AZ25" i="5"/>
  <c r="AZ27" i="5" s="1"/>
  <c r="BB44" i="8" l="1"/>
  <c r="AZ29" i="5"/>
  <c r="BA23" i="4" l="1"/>
  <c r="BB47" i="8"/>
  <c r="BA24" i="5" l="1"/>
  <c r="BA27" i="4"/>
  <c r="BA29" i="4"/>
  <c r="BA6" i="5" l="1"/>
  <c r="BA14" i="5" s="1"/>
  <c r="BB5" i="4"/>
  <c r="BA25" i="5"/>
  <c r="BA27" i="5" s="1"/>
  <c r="BC44" i="8" l="1"/>
  <c r="BA29" i="5"/>
  <c r="BB23" i="4" l="1"/>
  <c r="BC47" i="8"/>
  <c r="BB24" i="5" l="1"/>
  <c r="BB27" i="4"/>
  <c r="BB29" i="4"/>
  <c r="BC5" i="4" l="1"/>
  <c r="BB6" i="5"/>
  <c r="BB14" i="5" s="1"/>
  <c r="BB25" i="5"/>
  <c r="BB27" i="5" s="1"/>
  <c r="BB29" i="5" l="1"/>
  <c r="BD44" i="8"/>
  <c r="BC23" i="4" l="1"/>
  <c r="BD47" i="8"/>
  <c r="BC24" i="5" l="1"/>
  <c r="BC27" i="4"/>
  <c r="BC29" i="4"/>
  <c r="BC25" i="5" l="1"/>
  <c r="BC27" i="5" s="1"/>
  <c r="BC6" i="5"/>
  <c r="BC14" i="5" s="1"/>
  <c r="BD5" i="4"/>
  <c r="BC29" i="5" l="1"/>
  <c r="BE44" i="8"/>
  <c r="BD23" i="4" l="1"/>
  <c r="BE47" i="8"/>
  <c r="BD24" i="5" s="1"/>
  <c r="BD25" i="5" l="1"/>
  <c r="BD27" i="5" s="1"/>
  <c r="BD27" i="4"/>
  <c r="BD29" i="4"/>
  <c r="BD6" i="5" l="1"/>
  <c r="BD14" i="5" s="1"/>
  <c r="BD29" i="5" s="1"/>
  <c r="BE5" i="4"/>
  <c r="BF44" i="8" l="1"/>
  <c r="BE23" i="4" l="1"/>
  <c r="BF47" i="8"/>
  <c r="BE24" i="5" s="1"/>
  <c r="BE25" i="5" l="1"/>
  <c r="BE27" i="5" s="1"/>
  <c r="BE27" i="4"/>
  <c r="BE29" i="4"/>
  <c r="BE6" i="5" l="1"/>
  <c r="BE14" i="5" s="1"/>
  <c r="BE29" i="5" s="1"/>
  <c r="BF5" i="4"/>
  <c r="BG44" i="8" l="1"/>
  <c r="BF23" i="4" l="1"/>
  <c r="BG47" i="8"/>
  <c r="BF24" i="5" s="1"/>
  <c r="BF25" i="5" l="1"/>
  <c r="BF27" i="5" s="1"/>
  <c r="BF27" i="4"/>
  <c r="BF29" i="4"/>
  <c r="BF6" i="5" l="1"/>
  <c r="BF14" i="5" s="1"/>
  <c r="BF29" i="5" s="1"/>
  <c r="BG5" i="4"/>
  <c r="BH44" i="8" l="1"/>
  <c r="BG23" i="4" l="1"/>
  <c r="BH47" i="8"/>
  <c r="BG24" i="5" s="1"/>
  <c r="BG25" i="5" l="1"/>
  <c r="BG27" i="5" s="1"/>
  <c r="BG27" i="4"/>
  <c r="BG29" i="4"/>
  <c r="BG6" i="5" l="1"/>
  <c r="BG14" i="5" s="1"/>
  <c r="BG29" i="5" s="1"/>
  <c r="BH5" i="4"/>
  <c r="BI44" i="8" l="1"/>
  <c r="BH23" i="4" l="1"/>
  <c r="BI47" i="8"/>
  <c r="BH24" i="5" s="1"/>
  <c r="BH25" i="5" l="1"/>
  <c r="BH27" i="5" s="1"/>
  <c r="BH27" i="4"/>
  <c r="BH29" i="4"/>
  <c r="BH6" i="5" l="1"/>
  <c r="BH14" i="5" s="1"/>
  <c r="BH29" i="5" s="1"/>
  <c r="BI5" i="4"/>
  <c r="BJ44" i="8" l="1"/>
  <c r="BI23" i="4" l="1"/>
  <c r="BJ47" i="8"/>
  <c r="BI24" i="5" s="1"/>
  <c r="BI25" i="5" l="1"/>
  <c r="BI27" i="5" s="1"/>
  <c r="BI27" i="4"/>
  <c r="BI29" i="4"/>
  <c r="BI6" i="5" l="1"/>
  <c r="BI14" i="5" s="1"/>
  <c r="BI29" i="5" s="1"/>
  <c r="BJ5" i="4"/>
  <c r="BK44" i="8" l="1"/>
  <c r="BJ23" i="4" l="1"/>
  <c r="BK47" i="8"/>
  <c r="H44" i="6"/>
  <c r="H47" i="6" l="1"/>
  <c r="BJ24" i="5"/>
  <c r="BJ27" i="4"/>
  <c r="G23" i="12"/>
  <c r="BJ29" i="4"/>
  <c r="G27" i="12" l="1"/>
  <c r="BJ6" i="5"/>
  <c r="G29" i="12"/>
  <c r="G24" i="13"/>
  <c r="BJ25" i="5"/>
  <c r="G25" i="13" l="1"/>
  <c r="BJ27" i="5"/>
  <c r="G27" i="13" s="1"/>
  <c r="BJ14" i="5"/>
  <c r="G6" i="13"/>
  <c r="G14" i="13" l="1"/>
  <c r="G29" i="13" s="1"/>
  <c r="BJ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tc={83754504-4ED3-594A-A698-408ED34AF40D}</author>
  </authors>
  <commentList>
    <comment ref="C54" authorId="0" shapeId="0" xr:uid="{83754504-4ED3-594A-A698-408ED34AF4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HATE modeling a MoM growth rate as an input, but for organic, I am not sure how else to approximate it…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tc={20927704-6019-9445-B64E-D603CCAA5AE9}</author>
  </authors>
  <commentList>
    <comment ref="C24" authorId="0" shapeId="0" xr:uid="{20927704-6019-9445-B64E-D603CCAA5AE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Calculated what this FIRST MONTH retained earnings must have been given current cash and original investment amount…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2" authorId="0" shapeId="0" xr:uid="{2F524DD5-6F21-8644-839C-82EAB8521D1D}">
      <text>
        <r>
          <rPr>
            <sz val="10"/>
            <color rgb="FF000000"/>
            <rFont val="Tahoma"/>
            <family val="2"/>
          </rPr>
          <t>Arbitrarily changed the churn rate by channel to show that customers from different channels can behave differerently</t>
        </r>
      </text>
    </comment>
  </commentList>
</comments>
</file>

<file path=xl/sharedStrings.xml><?xml version="1.0" encoding="utf-8"?>
<sst xmlns="http://schemas.openxmlformats.org/spreadsheetml/2006/main" count="355" uniqueCount="229">
  <si>
    <t>Cups per pound</t>
  </si>
  <si>
    <t>Cost per cup</t>
  </si>
  <si>
    <t>Cost of Cup</t>
  </si>
  <si>
    <t>Cost of lid</t>
  </si>
  <si>
    <t>Cost of secret ingredients</t>
  </si>
  <si>
    <t>C.O.G.S.</t>
  </si>
  <si>
    <t>Cost per pound of Coffee</t>
  </si>
  <si>
    <t>Contribution per cup</t>
  </si>
  <si>
    <t>Revenue per cup</t>
  </si>
  <si>
    <t>Coffee Machine</t>
  </si>
  <si>
    <t>Cream / Sugar</t>
  </si>
  <si>
    <t>Build out</t>
  </si>
  <si>
    <t>CC Processing</t>
  </si>
  <si>
    <t>Revenue</t>
  </si>
  <si>
    <t>Sales (units)</t>
  </si>
  <si>
    <t>COGS</t>
  </si>
  <si>
    <t>Build Out</t>
  </si>
  <si>
    <t>Equipment</t>
  </si>
  <si>
    <t>Salary</t>
  </si>
  <si>
    <t>Total Assets</t>
  </si>
  <si>
    <t>Telephone service</t>
  </si>
  <si>
    <t>Telephone Service</t>
  </si>
  <si>
    <t>EBITDA</t>
  </si>
  <si>
    <t>Length of lease (months)</t>
  </si>
  <si>
    <t>Liabilities</t>
  </si>
  <si>
    <t>Total Liabilities</t>
  </si>
  <si>
    <t>Subscriptions</t>
  </si>
  <si>
    <t>One Time Purchases</t>
  </si>
  <si>
    <t>Advertising</t>
  </si>
  <si>
    <t>Gross Revenue</t>
  </si>
  <si>
    <t>Direct Costs</t>
  </si>
  <si>
    <t>Total Costs</t>
  </si>
  <si>
    <t>Gross Profit</t>
  </si>
  <si>
    <t>Marketing Costs</t>
  </si>
  <si>
    <t>Total Marketing Costs</t>
  </si>
  <si>
    <t>Gross Profit - Sales and Marketing</t>
  </si>
  <si>
    <t>Indirect Costs</t>
  </si>
  <si>
    <t>Rent</t>
  </si>
  <si>
    <t>Technology</t>
  </si>
  <si>
    <t>Legal and Accounting</t>
  </si>
  <si>
    <t>Travel</t>
  </si>
  <si>
    <t>Training</t>
  </si>
  <si>
    <t>Recruiting</t>
  </si>
  <si>
    <t>Total Indirect Costs</t>
  </si>
  <si>
    <t>Employees</t>
  </si>
  <si>
    <t>Subscription COGS</t>
  </si>
  <si>
    <t>One Time Purchases COGS</t>
  </si>
  <si>
    <t>Search engine marketing</t>
  </si>
  <si>
    <t>Social Media Marketing</t>
  </si>
  <si>
    <t>Sampling / sponsorships</t>
  </si>
  <si>
    <t>Shipping and Handling</t>
  </si>
  <si>
    <t>Customer Service Salaries, Taxes and Benefits</t>
  </si>
  <si>
    <t>Marketing Salaries, Taxes and Benefits</t>
  </si>
  <si>
    <t>R&amp;D Salaries, Taxes and Benefits</t>
  </si>
  <si>
    <t>G&amp;A Salaries, Taxes and benefits</t>
  </si>
  <si>
    <t>Kiosk Revenue</t>
  </si>
  <si>
    <t>Kiosk COGS</t>
  </si>
  <si>
    <t>Starting Subscribers</t>
  </si>
  <si>
    <t>New Subscribers</t>
  </si>
  <si>
    <t>Lost subscribers</t>
  </si>
  <si>
    <t>Ending Subscribers</t>
  </si>
  <si>
    <t>Average Subscription Price</t>
  </si>
  <si>
    <t xml:space="preserve">Revenue </t>
  </si>
  <si>
    <t>CPC</t>
  </si>
  <si>
    <t>Google SEM</t>
  </si>
  <si>
    <t>Spend</t>
  </si>
  <si>
    <t>Visits</t>
  </si>
  <si>
    <t>Conversion to Subscriber</t>
  </si>
  <si>
    <t>Facebook</t>
  </si>
  <si>
    <t>Instagram</t>
  </si>
  <si>
    <t>Organic</t>
  </si>
  <si>
    <t>Total New Subscribers</t>
  </si>
  <si>
    <t>Monthly Google Spend (SEM)</t>
  </si>
  <si>
    <t>Monthly Facebook Spend</t>
  </si>
  <si>
    <t>Monthly Instagram spend</t>
  </si>
  <si>
    <t>Google Traffic Subscription Conversion Rate</t>
  </si>
  <si>
    <t>Facebook Traffic Subscription Conversion Rate</t>
  </si>
  <si>
    <t>Instagram Traffic Subscription Conversion Rate</t>
  </si>
  <si>
    <t>Organic Traffic Subscription Conversion Rate</t>
  </si>
  <si>
    <t>Google Traffic One-time Purchase Conversion Rate</t>
  </si>
  <si>
    <t>Facebook Traffic One-time Purchase Conversion Rate</t>
  </si>
  <si>
    <t>Instagram Traffic One-time Purchase Conversion Rate</t>
  </si>
  <si>
    <t>Organic Traffic One-time Purchase Conversion Rate</t>
  </si>
  <si>
    <t>Google CPC</t>
  </si>
  <si>
    <t>Facebook CPC</t>
  </si>
  <si>
    <t>Instagram CPC</t>
  </si>
  <si>
    <t>Measured CAC</t>
  </si>
  <si>
    <t>Organic Traffic MoM Growth Rate</t>
  </si>
  <si>
    <t>Monthly Churn</t>
  </si>
  <si>
    <t>Monthly Churn Percentage</t>
  </si>
  <si>
    <t>COGS on Subscription Orders</t>
  </si>
  <si>
    <t>Average Shipping and Handling per order</t>
  </si>
  <si>
    <t>Gross Profit percentage</t>
  </si>
  <si>
    <t>Average basket size one-time purchases</t>
  </si>
  <si>
    <t>Average COGS one-time purchases</t>
  </si>
  <si>
    <t>OneTime Purchases</t>
  </si>
  <si>
    <t>Average basket size</t>
  </si>
  <si>
    <t>OneTime Purchases Revenue</t>
  </si>
  <si>
    <t xml:space="preserve">  </t>
  </si>
  <si>
    <t>Orders per customer service rep per month</t>
  </si>
  <si>
    <t>CEO</t>
  </si>
  <si>
    <t>CFO</t>
  </si>
  <si>
    <t>CTO</t>
  </si>
  <si>
    <t>Developer</t>
  </si>
  <si>
    <t>Customer Service</t>
  </si>
  <si>
    <t>Total one Time Orders</t>
  </si>
  <si>
    <t>Total One Time Revenue</t>
  </si>
  <si>
    <t>Taxes and benefits load for employees</t>
  </si>
  <si>
    <t>Marketing</t>
  </si>
  <si>
    <t>Tech expense per employee per month</t>
  </si>
  <si>
    <t>Legal Allowange per month</t>
  </si>
  <si>
    <t>Travel per exec per month</t>
  </si>
  <si>
    <t>Advertising Revenue</t>
  </si>
  <si>
    <t xml:space="preserve"> </t>
  </si>
  <si>
    <t>Beginning Cash Balance</t>
  </si>
  <si>
    <t>Opening Cash Balance</t>
  </si>
  <si>
    <t xml:space="preserve">Gross sales </t>
  </si>
  <si>
    <t>Total Direct Costs</t>
  </si>
  <si>
    <t>Change in A/R</t>
  </si>
  <si>
    <t>Cash Receipts</t>
  </si>
  <si>
    <t>Total Receipts</t>
  </si>
  <si>
    <t>Average A/R Days</t>
  </si>
  <si>
    <t>Avevrage A/P Days</t>
  </si>
  <si>
    <t>Accounts Receivable</t>
  </si>
  <si>
    <t>Inventory</t>
  </si>
  <si>
    <t>Fixed Assets</t>
  </si>
  <si>
    <t>Accumulated Depreciation</t>
  </si>
  <si>
    <t>Assets:</t>
  </si>
  <si>
    <t>Cash</t>
  </si>
  <si>
    <t>Accounts Payable</t>
  </si>
  <si>
    <t>Short Term Debt</t>
  </si>
  <si>
    <t>Long Term Debt</t>
  </si>
  <si>
    <t>Owners Equity</t>
  </si>
  <si>
    <t>Capital Stock</t>
  </si>
  <si>
    <t>Retained Earnings</t>
  </si>
  <si>
    <t>Total Equity</t>
  </si>
  <si>
    <t>Total Liabilities &amp; Equity</t>
  </si>
  <si>
    <t>"Enterprise Value"</t>
  </si>
  <si>
    <t>Founders Value</t>
  </si>
  <si>
    <t>For rounds:</t>
  </si>
  <si>
    <t>Pre-money</t>
  </si>
  <si>
    <t>New money</t>
  </si>
  <si>
    <t>New Money Share</t>
  </si>
  <si>
    <t>New Options Share</t>
  </si>
  <si>
    <t>Old cap table share</t>
  </si>
  <si>
    <t>Founder's share</t>
  </si>
  <si>
    <t>Days of inventory on hand</t>
  </si>
  <si>
    <t>Depreciation</t>
  </si>
  <si>
    <t>Capital Raised Month 3</t>
  </si>
  <si>
    <t>Pre-money Vaulation for Capital Raise Month 3</t>
  </si>
  <si>
    <t>Interest rate on Bank Balances</t>
  </si>
  <si>
    <t>Interest earned on balances</t>
  </si>
  <si>
    <t>Net Profit</t>
  </si>
  <si>
    <t>Revenue Multiple for Enterprise Value</t>
  </si>
  <si>
    <t>Capital Raised Year 2</t>
  </si>
  <si>
    <t>Opening Capital Stock Purchased</t>
  </si>
  <si>
    <t>Operating Expenses</t>
  </si>
  <si>
    <t>Total Revenue</t>
  </si>
  <si>
    <t>Depreciation (12 months)</t>
  </si>
  <si>
    <t>EBIT</t>
  </si>
  <si>
    <t>Profit/(loss)</t>
  </si>
  <si>
    <t>Income Statement - MULTIPLE LOCATIONS</t>
  </si>
  <si>
    <t>Locations</t>
  </si>
  <si>
    <t>Net Cash Flow</t>
  </si>
  <si>
    <t>Net Fixed Assets</t>
  </si>
  <si>
    <t>Check</t>
  </si>
  <si>
    <t>Min balance during the year</t>
  </si>
  <si>
    <t>Monthly Salary</t>
  </si>
  <si>
    <t>Subscription Details</t>
  </si>
  <si>
    <t>E-Commerce Income Statement</t>
  </si>
  <si>
    <t>Marketing Details</t>
  </si>
  <si>
    <t>Subscription Revenue per month</t>
  </si>
  <si>
    <t>COGS Percentage</t>
  </si>
  <si>
    <t>COGS Cost</t>
  </si>
  <si>
    <t>Contribution Margin</t>
  </si>
  <si>
    <t>Average Lifetime of subscriber (months)</t>
  </si>
  <si>
    <t>Customer Acquisition Cost (CAC)</t>
  </si>
  <si>
    <t>Months to payback</t>
  </si>
  <si>
    <t>LTV / CAC</t>
  </si>
  <si>
    <t>Lifetime Contribution Margin of Subscription (LTV)</t>
  </si>
  <si>
    <t>Google</t>
  </si>
  <si>
    <t>Charts</t>
  </si>
  <si>
    <t>Disbursements:</t>
  </si>
  <si>
    <t>Gross Expenses</t>
  </si>
  <si>
    <t xml:space="preserve">Change in A/P </t>
  </si>
  <si>
    <t>Change in Inventory Value</t>
  </si>
  <si>
    <t>Capital Expenditures</t>
  </si>
  <si>
    <t>Income Tax Paid</t>
  </si>
  <si>
    <t>Total Disbursements</t>
  </si>
  <si>
    <t>Net Cash Flow from Operations</t>
  </si>
  <si>
    <t>Equity Financing</t>
  </si>
  <si>
    <t>Interest Income</t>
  </si>
  <si>
    <t>Short Term borrowing</t>
  </si>
  <si>
    <t>Short Term repayments</t>
  </si>
  <si>
    <t>Ending Cash Balance</t>
  </si>
  <si>
    <t>Gross Profit to cover Monthly Overhead</t>
  </si>
  <si>
    <t>Operating Expenses (Salary)</t>
  </si>
  <si>
    <t>Contribution margin per cup</t>
  </si>
  <si>
    <t>Cups needed to sell</t>
  </si>
  <si>
    <t>Work days per month</t>
  </si>
  <si>
    <t>Cups per day</t>
  </si>
  <si>
    <t>Hrs worked per day</t>
  </si>
  <si>
    <t>Cups per hour (average)</t>
  </si>
  <si>
    <t xml:space="preserve">Contribution Margin (per cup)	</t>
  </si>
  <si>
    <t>For Charts: Total Expenses</t>
  </si>
  <si>
    <t>Revenue and Expenses</t>
  </si>
  <si>
    <t>Total Web visits</t>
  </si>
  <si>
    <t>Average Shipping Cost</t>
  </si>
  <si>
    <t>Allocated Marketing Salaries</t>
  </si>
  <si>
    <t>Subscription Unit Economics (Jan 2025)</t>
  </si>
  <si>
    <t>Average CPM for Ads Sold</t>
  </si>
  <si>
    <t>Average Pages Per Visit</t>
  </si>
  <si>
    <t>Taxes and benefits</t>
  </si>
  <si>
    <t>Total Marketing Spend</t>
  </si>
  <si>
    <t>Cash Flow - Monthly</t>
  </si>
  <si>
    <t>Income Statement - Monthly</t>
  </si>
  <si>
    <t>Balance Sheet - Monthly</t>
  </si>
  <si>
    <t>Balance Sheet - Annual</t>
  </si>
  <si>
    <t>Cash Flow - Annual</t>
  </si>
  <si>
    <t>Income Statement - Annual</t>
  </si>
  <si>
    <t>Variable Expenses (per cup)</t>
  </si>
  <si>
    <t>Raised</t>
  </si>
  <si>
    <t>Founder %</t>
  </si>
  <si>
    <t>Techstars REALLY ROCKS!</t>
  </si>
  <si>
    <t>Increase in cash</t>
  </si>
  <si>
    <t xml:space="preserve">delta Gross profit </t>
  </si>
  <si>
    <t>Shipments?</t>
  </si>
  <si>
    <t>Pre-money Valuation</t>
  </si>
  <si>
    <t>Post-Money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</si>
</sst>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&quot;$&quot;* #,##0_);_(&quot;$&quot;* \(#,##0\);_(&quot;$&quot;* &quot;-&quot;??_);_(@_)"/>
    <numFmt numFmtId="168" formatCode="[$-409]mmm\-yy;@"/>
    <numFmt numFmtId="169" formatCode="0.0\x"/>
    <numFmt numFmtId="170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0"/>
      <color rgb="FF000000"/>
      <name val="Tahoma"/>
      <family val="2"/>
    </font>
    <font>
      <sz val="12"/>
      <color theme="2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FBB"/>
        <bgColor indexed="64"/>
      </patternFill>
    </fill>
    <fill>
      <patternFill patternType="solid">
        <fgColor rgb="FFFFF0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8" fontId="3" fillId="0" borderId="2" xfId="0" applyNumberFormat="1" applyFont="1" applyBorder="1"/>
    <xf numFmtId="0" fontId="3" fillId="0" borderId="2" xfId="0" applyFont="1" applyBorder="1"/>
    <xf numFmtId="8" fontId="0" fillId="0" borderId="2" xfId="0" applyNumberFormat="1" applyBorder="1"/>
    <xf numFmtId="0" fontId="2" fillId="0" borderId="3" xfId="0" applyFont="1" applyBorder="1"/>
    <xf numFmtId="8" fontId="2" fillId="0" borderId="4" xfId="0" applyNumberFormat="1" applyFont="1" applyBorder="1"/>
    <xf numFmtId="6" fontId="3" fillId="0" borderId="2" xfId="0" applyNumberFormat="1" applyFont="1" applyBorder="1"/>
    <xf numFmtId="164" fontId="0" fillId="0" borderId="2" xfId="0" applyNumberFormat="1" applyBorder="1"/>
    <xf numFmtId="6" fontId="0" fillId="0" borderId="0" xfId="0" applyNumberFormat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5" fillId="0" borderId="0" xfId="0" applyFont="1"/>
    <xf numFmtId="164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164" fontId="6" fillId="0" borderId="0" xfId="1" applyNumberFormat="1" applyFont="1"/>
    <xf numFmtId="167" fontId="2" fillId="0" borderId="0" xfId="0" applyNumberFormat="1" applyFont="1"/>
    <xf numFmtId="6" fontId="2" fillId="0" borderId="0" xfId="0" applyNumberFormat="1" applyFont="1"/>
    <xf numFmtId="168" fontId="5" fillId="0" borderId="0" xfId="0" applyNumberFormat="1" applyFont="1"/>
    <xf numFmtId="167" fontId="2" fillId="0" borderId="0" xfId="2" applyNumberFormat="1" applyFont="1"/>
    <xf numFmtId="0" fontId="2" fillId="2" borderId="0" xfId="0" applyFont="1" applyFill="1"/>
    <xf numFmtId="10" fontId="3" fillId="0" borderId="0" xfId="3" applyNumberFormat="1" applyFont="1"/>
    <xf numFmtId="0" fontId="7" fillId="0" borderId="0" xfId="0" applyFont="1"/>
    <xf numFmtId="0" fontId="9" fillId="0" borderId="0" xfId="0" applyFont="1"/>
    <xf numFmtId="164" fontId="2" fillId="0" borderId="0" xfId="1" applyNumberFormat="1" applyFont="1"/>
    <xf numFmtId="0" fontId="10" fillId="0" borderId="0" xfId="0" applyFont="1"/>
    <xf numFmtId="167" fontId="3" fillId="0" borderId="0" xfId="2" applyNumberFormat="1" applyFont="1" applyBorder="1"/>
    <xf numFmtId="0" fontId="11" fillId="0" borderId="0" xfId="0" applyFont="1"/>
    <xf numFmtId="167" fontId="11" fillId="0" borderId="0" xfId="2" applyNumberFormat="1" applyFont="1"/>
    <xf numFmtId="0" fontId="0" fillId="4" borderId="0" xfId="0" applyFill="1"/>
    <xf numFmtId="167" fontId="0" fillId="4" borderId="0" xfId="2" applyNumberFormat="1" applyFont="1" applyFill="1"/>
    <xf numFmtId="0" fontId="12" fillId="0" borderId="0" xfId="0" applyFont="1"/>
    <xf numFmtId="0" fontId="11" fillId="3" borderId="0" xfId="0" applyFont="1" applyFill="1"/>
    <xf numFmtId="0" fontId="2" fillId="5" borderId="0" xfId="0" applyFont="1" applyFill="1"/>
    <xf numFmtId="167" fontId="0" fillId="0" borderId="10" xfId="2" applyNumberFormat="1" applyFont="1" applyBorder="1"/>
    <xf numFmtId="167" fontId="0" fillId="0" borderId="10" xfId="0" applyNumberFormat="1" applyBorder="1"/>
    <xf numFmtId="168" fontId="5" fillId="0" borderId="12" xfId="0" applyNumberFormat="1" applyFont="1" applyBorder="1"/>
    <xf numFmtId="168" fontId="5" fillId="0" borderId="13" xfId="0" applyNumberFormat="1" applyFont="1" applyBorder="1"/>
    <xf numFmtId="0" fontId="11" fillId="0" borderId="1" xfId="0" applyFont="1" applyBorder="1"/>
    <xf numFmtId="164" fontId="11" fillId="0" borderId="0" xfId="1" applyNumberFormat="1" applyFont="1" applyBorder="1"/>
    <xf numFmtId="0" fontId="11" fillId="0" borderId="2" xfId="0" applyFont="1" applyBorder="1"/>
    <xf numFmtId="0" fontId="2" fillId="0" borderId="1" xfId="0" applyFont="1" applyBorder="1"/>
    <xf numFmtId="167" fontId="2" fillId="0" borderId="0" xfId="2" applyNumberFormat="1" applyFont="1" applyBorder="1"/>
    <xf numFmtId="0" fontId="2" fillId="0" borderId="2" xfId="0" applyFont="1" applyBorder="1"/>
    <xf numFmtId="167" fontId="0" fillId="0" borderId="0" xfId="2" applyNumberFormat="1" applyFont="1" applyBorder="1"/>
    <xf numFmtId="166" fontId="0" fillId="0" borderId="1" xfId="3" applyNumberFormat="1" applyFont="1" applyBorder="1"/>
    <xf numFmtId="166" fontId="2" fillId="0" borderId="1" xfId="3" applyNumberFormat="1" applyFont="1" applyBorder="1"/>
    <xf numFmtId="9" fontId="3" fillId="0" borderId="1" xfId="0" applyNumberFormat="1" applyFont="1" applyBorder="1"/>
    <xf numFmtId="6" fontId="0" fillId="0" borderId="1" xfId="0" applyNumberFormat="1" applyBorder="1"/>
    <xf numFmtId="0" fontId="2" fillId="0" borderId="6" xfId="0" applyFont="1" applyBorder="1"/>
    <xf numFmtId="0" fontId="2" fillId="0" borderId="14" xfId="0" applyFont="1" applyBorder="1"/>
    <xf numFmtId="0" fontId="2" fillId="0" borderId="16" xfId="0" applyFont="1" applyBorder="1"/>
    <xf numFmtId="167" fontId="2" fillId="0" borderId="16" xfId="0" applyNumberFormat="1" applyFont="1" applyBorder="1"/>
    <xf numFmtId="0" fontId="2" fillId="0" borderId="4" xfId="0" applyFont="1" applyBorder="1"/>
    <xf numFmtId="0" fontId="5" fillId="0" borderId="3" xfId="0" applyFont="1" applyBorder="1"/>
    <xf numFmtId="0" fontId="5" fillId="0" borderId="16" xfId="0" applyFont="1" applyBorder="1"/>
    <xf numFmtId="168" fontId="5" fillId="0" borderId="16" xfId="0" applyNumberFormat="1" applyFont="1" applyBorder="1"/>
    <xf numFmtId="168" fontId="5" fillId="0" borderId="4" xfId="0" applyNumberFormat="1" applyFont="1" applyBorder="1"/>
    <xf numFmtId="0" fontId="12" fillId="0" borderId="3" xfId="0" applyFont="1" applyBorder="1" applyAlignment="1">
      <alignment horizontal="right"/>
    </xf>
    <xf numFmtId="0" fontId="13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167" fontId="0" fillId="0" borderId="2" xfId="2" applyNumberFormat="1" applyFont="1" applyBorder="1"/>
    <xf numFmtId="167" fontId="2" fillId="0" borderId="2" xfId="0" applyNumberFormat="1" applyFon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9" fillId="0" borderId="1" xfId="0" applyFont="1" applyBorder="1"/>
    <xf numFmtId="10" fontId="9" fillId="0" borderId="0" xfId="3" applyNumberFormat="1" applyFont="1" applyBorder="1"/>
    <xf numFmtId="10" fontId="9" fillId="0" borderId="2" xfId="3" applyNumberFormat="1" applyFont="1" applyBorder="1"/>
    <xf numFmtId="167" fontId="2" fillId="0" borderId="1" xfId="2" applyNumberFormat="1" applyFont="1" applyBorder="1"/>
    <xf numFmtId="167" fontId="2" fillId="0" borderId="2" xfId="2" applyNumberFormat="1" applyFont="1" applyBorder="1"/>
    <xf numFmtId="0" fontId="0" fillId="0" borderId="3" xfId="0" applyBorder="1"/>
    <xf numFmtId="0" fontId="0" fillId="0" borderId="16" xfId="0" applyBorder="1"/>
    <xf numFmtId="167" fontId="2" fillId="0" borderId="4" xfId="0" applyNumberFormat="1" applyFont="1" applyBorder="1"/>
    <xf numFmtId="168" fontId="5" fillId="0" borderId="3" xfId="0" applyNumberFormat="1" applyFont="1" applyBorder="1"/>
    <xf numFmtId="167" fontId="0" fillId="0" borderId="1" xfId="2" applyNumberFormat="1" applyFont="1" applyBorder="1"/>
    <xf numFmtId="167" fontId="2" fillId="0" borderId="1" xfId="0" applyNumberFormat="1" applyFont="1" applyBorder="1"/>
    <xf numFmtId="10" fontId="9" fillId="0" borderId="1" xfId="3" applyNumberFormat="1" applyFont="1" applyBorder="1"/>
    <xf numFmtId="167" fontId="2" fillId="0" borderId="3" xfId="0" applyNumberFormat="1" applyFont="1" applyBorder="1"/>
    <xf numFmtId="167" fontId="0" fillId="0" borderId="17" xfId="2" applyNumberFormat="1" applyFont="1" applyBorder="1"/>
    <xf numFmtId="167" fontId="0" fillId="0" borderId="18" xfId="2" applyNumberFormat="1" applyFont="1" applyBorder="1"/>
    <xf numFmtId="6" fontId="0" fillId="0" borderId="2" xfId="0" applyNumberFormat="1" applyBorder="1"/>
    <xf numFmtId="167" fontId="0" fillId="0" borderId="17" xfId="0" applyNumberFormat="1" applyBorder="1"/>
    <xf numFmtId="167" fontId="0" fillId="0" borderId="18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0" fontId="0" fillId="0" borderId="6" xfId="0" applyBorder="1"/>
    <xf numFmtId="0" fontId="0" fillId="0" borderId="15" xfId="0" applyBorder="1"/>
    <xf numFmtId="167" fontId="0" fillId="0" borderId="14" xfId="0" applyNumberFormat="1" applyBorder="1"/>
    <xf numFmtId="167" fontId="0" fillId="0" borderId="15" xfId="0" applyNumberFormat="1" applyBorder="1"/>
    <xf numFmtId="0" fontId="0" fillId="0" borderId="10" xfId="0" applyBorder="1"/>
    <xf numFmtId="0" fontId="0" fillId="0" borderId="18" xfId="0" applyBorder="1"/>
    <xf numFmtId="0" fontId="0" fillId="0" borderId="17" xfId="0" applyBorder="1"/>
    <xf numFmtId="0" fontId="5" fillId="0" borderId="2" xfId="0" applyFont="1" applyBorder="1"/>
    <xf numFmtId="0" fontId="0" fillId="0" borderId="1" xfId="0" applyBorder="1" applyAlignment="1">
      <alignment horizontal="left" indent="1"/>
    </xf>
    <xf numFmtId="167" fontId="2" fillId="0" borderId="1" xfId="2" applyNumberFormat="1" applyFont="1" applyBorder="1" applyAlignment="1">
      <alignment horizontal="left" indent="2"/>
    </xf>
    <xf numFmtId="167" fontId="2" fillId="2" borderId="3" xfId="2" applyNumberFormat="1" applyFont="1" applyFill="1" applyBorder="1"/>
    <xf numFmtId="167" fontId="2" fillId="2" borderId="16" xfId="0" applyNumberFormat="1" applyFont="1" applyFill="1" applyBorder="1"/>
    <xf numFmtId="167" fontId="2" fillId="2" borderId="4" xfId="0" applyNumberFormat="1" applyFont="1" applyFill="1" applyBorder="1"/>
    <xf numFmtId="167" fontId="2" fillId="2" borderId="3" xfId="0" applyNumberFormat="1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7" fontId="0" fillId="0" borderId="0" xfId="2" applyNumberFormat="1" applyFont="1" applyFill="1"/>
    <xf numFmtId="167" fontId="11" fillId="0" borderId="0" xfId="2" applyNumberFormat="1" applyFont="1" applyFill="1"/>
    <xf numFmtId="9" fontId="11" fillId="0" borderId="0" xfId="3" applyFont="1" applyFill="1"/>
    <xf numFmtId="166" fontId="11" fillId="0" borderId="0" xfId="3" applyNumberFormat="1" applyFont="1" applyFill="1"/>
    <xf numFmtId="166" fontId="11" fillId="0" borderId="0" xfId="0" applyNumberFormat="1" applyFont="1"/>
    <xf numFmtId="167" fontId="0" fillId="0" borderId="10" xfId="2" applyNumberFormat="1" applyFont="1" applyFill="1" applyBorder="1"/>
    <xf numFmtId="0" fontId="2" fillId="0" borderId="3" xfId="0" applyFont="1" applyBorder="1" applyAlignment="1">
      <alignment horizontal="left" indent="2"/>
    </xf>
    <xf numFmtId="167" fontId="2" fillId="0" borderId="16" xfId="2" applyNumberFormat="1" applyFont="1" applyFill="1" applyBorder="1"/>
    <xf numFmtId="167" fontId="2" fillId="0" borderId="4" xfId="2" applyNumberFormat="1" applyFont="1" applyFill="1" applyBorder="1"/>
    <xf numFmtId="167" fontId="0" fillId="0" borderId="16" xfId="2" applyNumberFormat="1" applyFont="1" applyFill="1" applyBorder="1"/>
    <xf numFmtId="167" fontId="0" fillId="0" borderId="4" xfId="2" applyNumberFormat="1" applyFont="1" applyFill="1" applyBorder="1"/>
    <xf numFmtId="167" fontId="2" fillId="0" borderId="3" xfId="2" applyNumberFormat="1" applyFont="1" applyFill="1" applyBorder="1"/>
    <xf numFmtId="167" fontId="2" fillId="2" borderId="16" xfId="2" applyNumberFormat="1" applyFont="1" applyFill="1" applyBorder="1"/>
    <xf numFmtId="167" fontId="2" fillId="2" borderId="4" xfId="2" applyNumberFormat="1" applyFont="1" applyFill="1" applyBorder="1"/>
    <xf numFmtId="0" fontId="2" fillId="2" borderId="3" xfId="0" applyFont="1" applyFill="1" applyBorder="1" applyAlignment="1">
      <alignment horizontal="left" indent="2"/>
    </xf>
    <xf numFmtId="167" fontId="2" fillId="0" borderId="0" xfId="2" applyNumberFormat="1" applyFont="1" applyFill="1" applyBorder="1"/>
    <xf numFmtId="167" fontId="0" fillId="0" borderId="0" xfId="2" applyNumberFormat="1" applyFont="1" applyFill="1" applyBorder="1"/>
    <xf numFmtId="167" fontId="0" fillId="0" borderId="2" xfId="2" applyNumberFormat="1" applyFont="1" applyFill="1" applyBorder="1"/>
    <xf numFmtId="0" fontId="0" fillId="0" borderId="1" xfId="0" applyBorder="1" applyAlignment="1">
      <alignment horizontal="left" indent="2"/>
    </xf>
    <xf numFmtId="167" fontId="0" fillId="0" borderId="18" xfId="2" applyNumberFormat="1" applyFont="1" applyFill="1" applyBorder="1"/>
    <xf numFmtId="0" fontId="0" fillId="0" borderId="1" xfId="0" applyBorder="1" applyAlignment="1">
      <alignment horizontal="left"/>
    </xf>
    <xf numFmtId="167" fontId="0" fillId="0" borderId="1" xfId="2" applyNumberFormat="1" applyFont="1" applyFill="1" applyBorder="1"/>
    <xf numFmtId="167" fontId="0" fillId="0" borderId="17" xfId="2" applyNumberFormat="1" applyFont="1" applyFill="1" applyBorder="1"/>
    <xf numFmtId="167" fontId="0" fillId="0" borderId="3" xfId="2" applyNumberFormat="1" applyFont="1" applyFill="1" applyBorder="1"/>
    <xf numFmtId="164" fontId="6" fillId="0" borderId="0" xfId="1" applyNumberFormat="1" applyFont="1" applyBorder="1"/>
    <xf numFmtId="164" fontId="6" fillId="0" borderId="2" xfId="1" applyNumberFormat="1" applyFont="1" applyBorder="1"/>
    <xf numFmtId="0" fontId="2" fillId="2" borderId="14" xfId="0" applyFont="1" applyFill="1" applyBorder="1"/>
    <xf numFmtId="164" fontId="6" fillId="0" borderId="1" xfId="1" applyNumberFormat="1" applyFont="1" applyBorder="1"/>
    <xf numFmtId="0" fontId="5" fillId="0" borderId="4" xfId="0" applyFont="1" applyBorder="1"/>
    <xf numFmtId="0" fontId="2" fillId="2" borderId="3" xfId="0" applyFont="1" applyFill="1" applyBorder="1"/>
    <xf numFmtId="167" fontId="2" fillId="0" borderId="5" xfId="2" applyNumberFormat="1" applyFont="1" applyBorder="1"/>
    <xf numFmtId="167" fontId="2" fillId="0" borderId="12" xfId="2" applyNumberFormat="1" applyFont="1" applyBorder="1"/>
    <xf numFmtId="167" fontId="2" fillId="0" borderId="13" xfId="2" applyNumberFormat="1" applyFont="1" applyBorder="1"/>
    <xf numFmtId="0" fontId="2" fillId="0" borderId="1" xfId="0" applyFont="1" applyBorder="1" applyAlignment="1">
      <alignment horizontal="left" indent="2"/>
    </xf>
    <xf numFmtId="0" fontId="2" fillId="0" borderId="5" xfId="0" applyFont="1" applyBorder="1"/>
    <xf numFmtId="0" fontId="0" fillId="0" borderId="13" xfId="0" applyBorder="1"/>
    <xf numFmtId="0" fontId="2" fillId="0" borderId="2" xfId="0" applyFont="1" applyBorder="1" applyAlignment="1">
      <alignment horizontal="left" indent="1"/>
    </xf>
    <xf numFmtId="164" fontId="0" fillId="0" borderId="2" xfId="1" applyNumberFormat="1" applyFont="1" applyBorder="1"/>
    <xf numFmtId="167" fontId="2" fillId="0" borderId="2" xfId="2" applyNumberFormat="1" applyFont="1" applyBorder="1" applyAlignment="1">
      <alignment horizontal="left" indent="1"/>
    </xf>
    <xf numFmtId="164" fontId="0" fillId="0" borderId="2" xfId="1" applyNumberFormat="1" applyFont="1" applyBorder="1" applyAlignment="1">
      <alignment horizontal="left"/>
    </xf>
    <xf numFmtId="0" fontId="2" fillId="5" borderId="3" xfId="0" applyFont="1" applyFill="1" applyBorder="1"/>
    <xf numFmtId="0" fontId="2" fillId="5" borderId="4" xfId="0" applyFont="1" applyFill="1" applyBorder="1"/>
    <xf numFmtId="167" fontId="2" fillId="5" borderId="16" xfId="0" applyNumberFormat="1" applyFont="1" applyFill="1" applyBorder="1"/>
    <xf numFmtId="167" fontId="2" fillId="5" borderId="4" xfId="0" applyNumberFormat="1" applyFont="1" applyFill="1" applyBorder="1"/>
    <xf numFmtId="167" fontId="2" fillId="5" borderId="3" xfId="0" applyNumberFormat="1" applyFont="1" applyFill="1" applyBorder="1"/>
    <xf numFmtId="167" fontId="2" fillId="5" borderId="3" xfId="2" applyNumberFormat="1" applyFont="1" applyFill="1" applyBorder="1"/>
    <xf numFmtId="167" fontId="2" fillId="5" borderId="16" xfId="2" applyNumberFormat="1" applyFont="1" applyFill="1" applyBorder="1"/>
    <xf numFmtId="167" fontId="2" fillId="5" borderId="4" xfId="2" applyNumberFormat="1" applyFont="1" applyFill="1" applyBorder="1"/>
    <xf numFmtId="0" fontId="0" fillId="0" borderId="1" xfId="0" applyBorder="1" applyAlignment="1">
      <alignment horizontal="left" indent="3"/>
    </xf>
    <xf numFmtId="167" fontId="2" fillId="0" borderId="16" xfId="2" applyNumberFormat="1" applyFont="1" applyBorder="1"/>
    <xf numFmtId="167" fontId="2" fillId="0" borderId="4" xfId="2" applyNumberFormat="1" applyFont="1" applyBorder="1"/>
    <xf numFmtId="0" fontId="14" fillId="0" borderId="0" xfId="0" applyFont="1"/>
    <xf numFmtId="167" fontId="3" fillId="0" borderId="14" xfId="2" applyNumberFormat="1" applyFont="1" applyBorder="1"/>
    <xf numFmtId="167" fontId="0" fillId="0" borderId="6" xfId="0" applyNumberFormat="1" applyBorder="1"/>
    <xf numFmtId="0" fontId="0" fillId="2" borderId="3" xfId="0" applyFill="1" applyBorder="1"/>
    <xf numFmtId="0" fontId="0" fillId="2" borderId="4" xfId="0" applyFill="1" applyBorder="1"/>
    <xf numFmtId="0" fontId="9" fillId="0" borderId="2" xfId="0" applyFont="1" applyBorder="1"/>
    <xf numFmtId="164" fontId="0" fillId="0" borderId="0" xfId="0" applyNumberFormat="1"/>
    <xf numFmtId="10" fontId="0" fillId="0" borderId="0" xfId="3" applyNumberFormat="1" applyFont="1" applyBorder="1"/>
    <xf numFmtId="44" fontId="9" fillId="0" borderId="0" xfId="2" applyFont="1" applyBorder="1"/>
    <xf numFmtId="167" fontId="0" fillId="2" borderId="16" xfId="2" applyNumberFormat="1" applyFont="1" applyFill="1" applyBorder="1"/>
    <xf numFmtId="168" fontId="5" fillId="0" borderId="5" xfId="0" applyNumberFormat="1" applyFont="1" applyBorder="1"/>
    <xf numFmtId="164" fontId="2" fillId="0" borderId="16" xfId="0" applyNumberFormat="1" applyFont="1" applyBorder="1"/>
    <xf numFmtId="164" fontId="2" fillId="2" borderId="16" xfId="1" applyNumberFormat="1" applyFont="1" applyFill="1" applyBorder="1"/>
    <xf numFmtId="164" fontId="2" fillId="2" borderId="4" xfId="1" applyNumberFormat="1" applyFont="1" applyFill="1" applyBorder="1"/>
    <xf numFmtId="167" fontId="2" fillId="0" borderId="3" xfId="2" applyNumberFormat="1" applyFont="1" applyBorder="1"/>
    <xf numFmtId="0" fontId="2" fillId="6" borderId="1" xfId="0" applyFont="1" applyFill="1" applyBorder="1"/>
    <xf numFmtId="0" fontId="0" fillId="6" borderId="0" xfId="0" applyFill="1"/>
    <xf numFmtId="0" fontId="0" fillId="6" borderId="2" xfId="0" applyFill="1" applyBorder="1"/>
    <xf numFmtId="0" fontId="0" fillId="6" borderId="1" xfId="0" applyFill="1" applyBorder="1" applyAlignment="1">
      <alignment horizontal="left" indent="1"/>
    </xf>
    <xf numFmtId="167" fontId="0" fillId="6" borderId="0" xfId="2" applyNumberFormat="1" applyFont="1" applyFill="1" applyBorder="1"/>
    <xf numFmtId="167" fontId="0" fillId="6" borderId="2" xfId="2" applyNumberFormat="1" applyFont="1" applyFill="1" applyBorder="1"/>
    <xf numFmtId="44" fontId="0" fillId="6" borderId="0" xfId="0" applyNumberFormat="1" applyFill="1"/>
    <xf numFmtId="44" fontId="0" fillId="6" borderId="2" xfId="0" applyNumberFormat="1" applyFill="1" applyBorder="1"/>
    <xf numFmtId="164" fontId="0" fillId="6" borderId="0" xfId="1" applyNumberFormat="1" applyFont="1" applyFill="1" applyBorder="1"/>
    <xf numFmtId="164" fontId="0" fillId="6" borderId="2" xfId="1" applyNumberFormat="1" applyFont="1" applyFill="1" applyBorder="1"/>
    <xf numFmtId="10" fontId="0" fillId="6" borderId="0" xfId="3" applyNumberFormat="1" applyFont="1" applyFill="1" applyBorder="1"/>
    <xf numFmtId="10" fontId="0" fillId="6" borderId="2" xfId="3" applyNumberFormat="1" applyFont="1" applyFill="1" applyBorder="1"/>
    <xf numFmtId="0" fontId="2" fillId="6" borderId="3" xfId="0" applyFont="1" applyFill="1" applyBorder="1" applyAlignment="1">
      <alignment horizontal="left" indent="2"/>
    </xf>
    <xf numFmtId="164" fontId="0" fillId="6" borderId="16" xfId="0" applyNumberFormat="1" applyFill="1" applyBorder="1"/>
    <xf numFmtId="164" fontId="0" fillId="6" borderId="4" xfId="0" applyNumberFormat="1" applyFill="1" applyBorder="1"/>
    <xf numFmtId="44" fontId="7" fillId="6" borderId="0" xfId="2" applyFont="1" applyFill="1" applyBorder="1"/>
    <xf numFmtId="44" fontId="7" fillId="6" borderId="2" xfId="2" applyFont="1" applyFill="1" applyBorder="1"/>
    <xf numFmtId="0" fontId="7" fillId="6" borderId="1" xfId="0" applyFont="1" applyFill="1" applyBorder="1" applyAlignment="1">
      <alignment horizontal="left" indent="1"/>
    </xf>
    <xf numFmtId="164" fontId="1" fillId="6" borderId="0" xfId="1" applyNumberFormat="1" applyFont="1" applyFill="1" applyBorder="1"/>
    <xf numFmtId="164" fontId="1" fillId="6" borderId="2" xfId="1" applyNumberFormat="1" applyFont="1" applyFill="1" applyBorder="1"/>
    <xf numFmtId="44" fontId="1" fillId="6" borderId="0" xfId="2" applyFont="1" applyFill="1" applyBorder="1"/>
    <xf numFmtId="0" fontId="2" fillId="6" borderId="3" xfId="0" applyFont="1" applyFill="1" applyBorder="1" applyAlignment="1">
      <alignment horizontal="left" indent="1"/>
    </xf>
    <xf numFmtId="44" fontId="2" fillId="6" borderId="16" xfId="2" applyFont="1" applyFill="1" applyBorder="1"/>
    <xf numFmtId="44" fontId="2" fillId="6" borderId="4" xfId="2" applyFont="1" applyFill="1" applyBorder="1"/>
    <xf numFmtId="0" fontId="2" fillId="7" borderId="1" xfId="0" applyFont="1" applyFill="1" applyBorder="1"/>
    <xf numFmtId="0" fontId="0" fillId="7" borderId="1" xfId="0" applyFill="1" applyBorder="1" applyAlignment="1">
      <alignment horizontal="left" indent="1"/>
    </xf>
    <xf numFmtId="167" fontId="0" fillId="7" borderId="0" xfId="2" applyNumberFormat="1" applyFont="1" applyFill="1" applyBorder="1"/>
    <xf numFmtId="164" fontId="0" fillId="7" borderId="0" xfId="1" applyNumberFormat="1" applyFont="1" applyFill="1" applyBorder="1"/>
    <xf numFmtId="10" fontId="0" fillId="7" borderId="0" xfId="3" applyNumberFormat="1" applyFont="1" applyFill="1" applyBorder="1"/>
    <xf numFmtId="0" fontId="2" fillId="7" borderId="3" xfId="0" applyFont="1" applyFill="1" applyBorder="1" applyAlignment="1">
      <alignment horizontal="left" indent="2"/>
    </xf>
    <xf numFmtId="164" fontId="0" fillId="7" borderId="16" xfId="0" applyNumberFormat="1" applyFill="1" applyBorder="1"/>
    <xf numFmtId="44" fontId="7" fillId="7" borderId="0" xfId="2" applyFont="1" applyFill="1" applyBorder="1"/>
    <xf numFmtId="0" fontId="7" fillId="7" borderId="1" xfId="0" applyFont="1" applyFill="1" applyBorder="1" applyAlignment="1">
      <alignment horizontal="left" indent="1"/>
    </xf>
    <xf numFmtId="164" fontId="1" fillId="7" borderId="0" xfId="1" applyNumberFormat="1" applyFont="1" applyFill="1" applyBorder="1"/>
    <xf numFmtId="44" fontId="1" fillId="7" borderId="0" xfId="2" applyFont="1" applyFill="1" applyBorder="1"/>
    <xf numFmtId="44" fontId="2" fillId="7" borderId="16" xfId="2" applyFont="1" applyFill="1" applyBorder="1"/>
    <xf numFmtId="0" fontId="2" fillId="4" borderId="1" xfId="0" applyFont="1" applyFill="1" applyBorder="1"/>
    <xf numFmtId="0" fontId="0" fillId="4" borderId="1" xfId="0" applyFill="1" applyBorder="1" applyAlignment="1">
      <alignment horizontal="left" indent="1"/>
    </xf>
    <xf numFmtId="167" fontId="0" fillId="4" borderId="0" xfId="2" applyNumberFormat="1" applyFont="1" applyFill="1" applyBorder="1"/>
    <xf numFmtId="164" fontId="0" fillId="4" borderId="0" xfId="1" applyNumberFormat="1" applyFont="1" applyFill="1" applyBorder="1"/>
    <xf numFmtId="10" fontId="0" fillId="4" borderId="0" xfId="3" applyNumberFormat="1" applyFont="1" applyFill="1" applyBorder="1"/>
    <xf numFmtId="0" fontId="2" fillId="4" borderId="3" xfId="0" applyFont="1" applyFill="1" applyBorder="1" applyAlignment="1">
      <alignment horizontal="left" indent="2"/>
    </xf>
    <xf numFmtId="164" fontId="0" fillId="4" borderId="16" xfId="0" applyNumberFormat="1" applyFill="1" applyBorder="1"/>
    <xf numFmtId="44" fontId="7" fillId="4" borderId="0" xfId="2" applyFont="1" applyFill="1" applyBorder="1"/>
    <xf numFmtId="0" fontId="7" fillId="4" borderId="1" xfId="0" applyFont="1" applyFill="1" applyBorder="1" applyAlignment="1">
      <alignment horizontal="left" indent="1"/>
    </xf>
    <xf numFmtId="164" fontId="1" fillId="4" borderId="0" xfId="1" applyNumberFormat="1" applyFont="1" applyFill="1" applyBorder="1"/>
    <xf numFmtId="164" fontId="1" fillId="4" borderId="2" xfId="1" applyNumberFormat="1" applyFont="1" applyFill="1" applyBorder="1"/>
    <xf numFmtId="44" fontId="1" fillId="4" borderId="0" xfId="2" applyFont="1" applyFill="1" applyBorder="1"/>
    <xf numFmtId="44" fontId="1" fillId="4" borderId="2" xfId="2" applyFont="1" applyFill="1" applyBorder="1"/>
    <xf numFmtId="44" fontId="2" fillId="4" borderId="16" xfId="2" applyFont="1" applyFill="1" applyBorder="1"/>
    <xf numFmtId="44" fontId="2" fillId="4" borderId="4" xfId="2" applyFont="1" applyFill="1" applyBorder="1"/>
    <xf numFmtId="0" fontId="2" fillId="8" borderId="1" xfId="0" applyFont="1" applyFill="1" applyBorder="1" applyAlignment="1">
      <alignment horizontal="left"/>
    </xf>
    <xf numFmtId="0" fontId="0" fillId="8" borderId="0" xfId="0" applyFill="1"/>
    <xf numFmtId="0" fontId="0" fillId="8" borderId="2" xfId="0" applyFill="1" applyBorder="1"/>
    <xf numFmtId="0" fontId="0" fillId="8" borderId="1" xfId="0" applyFill="1" applyBorder="1" applyAlignment="1">
      <alignment horizontal="left" indent="1"/>
    </xf>
    <xf numFmtId="164" fontId="0" fillId="8" borderId="0" xfId="0" applyNumberFormat="1" applyFill="1"/>
    <xf numFmtId="164" fontId="0" fillId="8" borderId="2" xfId="0" applyNumberFormat="1" applyFill="1" applyBorder="1"/>
    <xf numFmtId="10" fontId="0" fillId="8" borderId="0" xfId="3" applyNumberFormat="1" applyFont="1" applyFill="1" applyBorder="1"/>
    <xf numFmtId="10" fontId="0" fillId="8" borderId="2" xfId="3" applyNumberFormat="1" applyFont="1" applyFill="1" applyBorder="1"/>
    <xf numFmtId="164" fontId="2" fillId="8" borderId="3" xfId="1" applyNumberFormat="1" applyFont="1" applyFill="1" applyBorder="1" applyAlignment="1">
      <alignment horizontal="left" indent="1"/>
    </xf>
    <xf numFmtId="164" fontId="2" fillId="8" borderId="16" xfId="0" applyNumberFormat="1" applyFont="1" applyFill="1" applyBorder="1"/>
    <xf numFmtId="164" fontId="2" fillId="8" borderId="4" xfId="0" applyNumberFormat="1" applyFont="1" applyFill="1" applyBorder="1"/>
    <xf numFmtId="164" fontId="2" fillId="8" borderId="1" xfId="1" applyNumberFormat="1" applyFont="1" applyFill="1" applyBorder="1" applyAlignment="1">
      <alignment horizontal="left" indent="1"/>
    </xf>
    <xf numFmtId="164" fontId="1" fillId="8" borderId="0" xfId="1" applyNumberFormat="1" applyFont="1" applyFill="1" applyBorder="1"/>
    <xf numFmtId="164" fontId="1" fillId="8" borderId="2" xfId="1" applyNumberFormat="1" applyFont="1" applyFill="1" applyBorder="1"/>
    <xf numFmtId="44" fontId="1" fillId="8" borderId="0" xfId="2" applyFont="1" applyFill="1" applyBorder="1"/>
    <xf numFmtId="44" fontId="1" fillId="8" borderId="2" xfId="2" applyFont="1" applyFill="1" applyBorder="1"/>
    <xf numFmtId="0" fontId="2" fillId="8" borderId="3" xfId="0" applyFont="1" applyFill="1" applyBorder="1" applyAlignment="1">
      <alignment horizontal="left" indent="2"/>
    </xf>
    <xf numFmtId="167" fontId="2" fillId="8" borderId="16" xfId="2" applyNumberFormat="1" applyFont="1" applyFill="1" applyBorder="1"/>
    <xf numFmtId="167" fontId="2" fillId="8" borderId="4" xfId="2" applyNumberFormat="1" applyFont="1" applyFill="1" applyBorder="1"/>
    <xf numFmtId="0" fontId="2" fillId="0" borderId="4" xfId="0" applyFont="1" applyBorder="1" applyAlignment="1">
      <alignment horizontal="left" indent="1"/>
    </xf>
    <xf numFmtId="0" fontId="2" fillId="4" borderId="4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44" fontId="2" fillId="6" borderId="11" xfId="2" applyFont="1" applyFill="1" applyBorder="1" applyAlignment="1">
      <alignment horizontal="right"/>
    </xf>
    <xf numFmtId="165" fontId="2" fillId="7" borderId="3" xfId="1" applyNumberFormat="1" applyFont="1" applyFill="1" applyBorder="1"/>
    <xf numFmtId="165" fontId="2" fillId="6" borderId="11" xfId="1" applyNumberFormat="1" applyFont="1" applyFill="1" applyBorder="1"/>
    <xf numFmtId="165" fontId="2" fillId="4" borderId="4" xfId="1" applyNumberFormat="1" applyFont="1" applyFill="1" applyBorder="1"/>
    <xf numFmtId="164" fontId="2" fillId="0" borderId="4" xfId="1" applyNumberFormat="1" applyFont="1" applyBorder="1"/>
    <xf numFmtId="164" fontId="1" fillId="0" borderId="0" xfId="1" applyNumberFormat="1" applyFont="1" applyBorder="1"/>
    <xf numFmtId="0" fontId="15" fillId="3" borderId="5" xfId="0" applyFont="1" applyFill="1" applyBorder="1"/>
    <xf numFmtId="164" fontId="3" fillId="3" borderId="13" xfId="1" applyNumberFormat="1" applyFont="1" applyFill="1" applyBorder="1"/>
    <xf numFmtId="0" fontId="15" fillId="3" borderId="6" xfId="0" applyFont="1" applyFill="1" applyBorder="1"/>
    <xf numFmtId="164" fontId="15" fillId="3" borderId="15" xfId="0" applyNumberFormat="1" applyFont="1" applyFill="1" applyBorder="1"/>
    <xf numFmtId="170" fontId="15" fillId="3" borderId="15" xfId="0" applyNumberFormat="1" applyFont="1" applyFill="1" applyBorder="1"/>
    <xf numFmtId="165" fontId="2" fillId="0" borderId="0" xfId="0" applyNumberFormat="1" applyFont="1"/>
    <xf numFmtId="6" fontId="3" fillId="0" borderId="13" xfId="0" applyNumberFormat="1" applyFont="1" applyBorder="1"/>
    <xf numFmtId="10" fontId="3" fillId="0" borderId="2" xfId="3" applyNumberFormat="1" applyFont="1" applyBorder="1"/>
    <xf numFmtId="10" fontId="3" fillId="0" borderId="15" xfId="3" applyNumberFormat="1" applyFont="1" applyBorder="1"/>
    <xf numFmtId="8" fontId="3" fillId="0" borderId="2" xfId="3" applyNumberFormat="1" applyFont="1" applyBorder="1"/>
    <xf numFmtId="164" fontId="3" fillId="0" borderId="13" xfId="1" applyNumberFormat="1" applyFont="1" applyBorder="1"/>
    <xf numFmtId="167" fontId="3" fillId="0" borderId="2" xfId="2" applyNumberFormat="1" applyFont="1" applyBorder="1"/>
    <xf numFmtId="169" fontId="3" fillId="0" borderId="15" xfId="0" applyNumberFormat="1" applyFont="1" applyBorder="1"/>
    <xf numFmtId="168" fontId="5" fillId="3" borderId="3" xfId="0" applyNumberFormat="1" applyFont="1" applyFill="1" applyBorder="1"/>
    <xf numFmtId="168" fontId="5" fillId="3" borderId="16" xfId="0" applyNumberFormat="1" applyFont="1" applyFill="1" applyBorder="1"/>
    <xf numFmtId="167" fontId="2" fillId="3" borderId="3" xfId="2" applyNumberFormat="1" applyFont="1" applyFill="1" applyBorder="1"/>
    <xf numFmtId="167" fontId="2" fillId="3" borderId="16" xfId="2" applyNumberFormat="1" applyFont="1" applyFill="1" applyBorder="1"/>
    <xf numFmtId="167" fontId="0" fillId="3" borderId="1" xfId="2" applyNumberFormat="1" applyFont="1" applyFill="1" applyBorder="1"/>
    <xf numFmtId="167" fontId="0" fillId="3" borderId="0" xfId="2" applyNumberFormat="1" applyFont="1" applyFill="1" applyBorder="1"/>
    <xf numFmtId="167" fontId="0" fillId="3" borderId="17" xfId="2" applyNumberFormat="1" applyFont="1" applyFill="1" applyBorder="1"/>
    <xf numFmtId="167" fontId="0" fillId="3" borderId="10" xfId="2" applyNumberFormat="1" applyFont="1" applyFill="1" applyBorder="1"/>
    <xf numFmtId="167" fontId="2" fillId="3" borderId="1" xfId="2" applyNumberFormat="1" applyFont="1" applyFill="1" applyBorder="1"/>
    <xf numFmtId="167" fontId="2" fillId="3" borderId="0" xfId="2" applyNumberFormat="1" applyFont="1" applyFill="1" applyBorder="1"/>
    <xf numFmtId="0" fontId="0" fillId="3" borderId="1" xfId="0" applyFill="1" applyBorder="1"/>
    <xf numFmtId="0" fontId="0" fillId="3" borderId="0" xfId="0" applyFill="1"/>
    <xf numFmtId="6" fontId="0" fillId="3" borderId="1" xfId="0" applyNumberFormat="1" applyFill="1" applyBorder="1"/>
    <xf numFmtId="167" fontId="0" fillId="3" borderId="17" xfId="0" applyNumberFormat="1" applyFill="1" applyBorder="1"/>
    <xf numFmtId="167" fontId="0" fillId="3" borderId="10" xfId="0" applyNumberFormat="1" applyFill="1" applyBorder="1"/>
    <xf numFmtId="167" fontId="2" fillId="3" borderId="1" xfId="0" applyNumberFormat="1" applyFont="1" applyFill="1" applyBorder="1"/>
    <xf numFmtId="167" fontId="2" fillId="3" borderId="0" xfId="0" applyNumberFormat="1" applyFont="1" applyFill="1"/>
    <xf numFmtId="167" fontId="0" fillId="3" borderId="1" xfId="0" applyNumberFormat="1" applyFill="1" applyBorder="1"/>
    <xf numFmtId="167" fontId="0" fillId="3" borderId="0" xfId="0" applyNumberFormat="1" applyFill="1"/>
    <xf numFmtId="167" fontId="2" fillId="3" borderId="3" xfId="0" applyNumberFormat="1" applyFont="1" applyFill="1" applyBorder="1"/>
    <xf numFmtId="167" fontId="2" fillId="3" borderId="16" xfId="0" applyNumberFormat="1" applyFont="1" applyFill="1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2" fillId="0" borderId="11" xfId="0" applyFont="1" applyBorder="1"/>
    <xf numFmtId="168" fontId="5" fillId="3" borderId="5" xfId="0" applyNumberFormat="1" applyFont="1" applyFill="1" applyBorder="1"/>
    <xf numFmtId="168" fontId="5" fillId="3" borderId="12" xfId="0" applyNumberFormat="1" applyFont="1" applyFill="1" applyBorder="1"/>
    <xf numFmtId="164" fontId="0" fillId="3" borderId="1" xfId="1" applyNumberFormat="1" applyFont="1" applyFill="1" applyBorder="1"/>
    <xf numFmtId="164" fontId="0" fillId="3" borderId="0" xfId="1" applyNumberFormat="1" applyFont="1" applyFill="1" applyBorder="1"/>
    <xf numFmtId="10" fontId="0" fillId="3" borderId="1" xfId="3" applyNumberFormat="1" applyFont="1" applyFill="1" applyBorder="1"/>
    <xf numFmtId="10" fontId="0" fillId="3" borderId="0" xfId="3" applyNumberFormat="1" applyFont="1" applyFill="1" applyBorder="1"/>
    <xf numFmtId="0" fontId="0" fillId="3" borderId="6" xfId="0" applyFill="1" applyBorder="1"/>
    <xf numFmtId="0" fontId="0" fillId="3" borderId="14" xfId="0" applyFill="1" applyBorder="1"/>
    <xf numFmtId="164" fontId="2" fillId="3" borderId="3" xfId="0" applyNumberFormat="1" applyFont="1" applyFill="1" applyBorder="1"/>
    <xf numFmtId="164" fontId="2" fillId="3" borderId="16" xfId="0" applyNumberFormat="1" applyFont="1" applyFill="1" applyBorder="1"/>
    <xf numFmtId="44" fontId="9" fillId="3" borderId="1" xfId="2" applyFont="1" applyFill="1" applyBorder="1"/>
    <xf numFmtId="44" fontId="9" fillId="3" borderId="0" xfId="2" applyFont="1" applyFill="1" applyBorder="1"/>
    <xf numFmtId="167" fontId="0" fillId="3" borderId="3" xfId="2" applyNumberFormat="1" applyFont="1" applyFill="1" applyBorder="1"/>
    <xf numFmtId="167" fontId="0" fillId="3" borderId="16" xfId="2" applyNumberFormat="1" applyFont="1" applyFill="1" applyBorder="1"/>
    <xf numFmtId="44" fontId="0" fillId="3" borderId="0" xfId="0" applyNumberFormat="1" applyFill="1"/>
    <xf numFmtId="164" fontId="0" fillId="3" borderId="16" xfId="0" applyNumberFormat="1" applyFill="1" applyBorder="1"/>
    <xf numFmtId="44" fontId="7" fillId="3" borderId="0" xfId="2" applyFont="1" applyFill="1" applyBorder="1"/>
    <xf numFmtId="164" fontId="1" fillId="3" borderId="0" xfId="1" applyNumberFormat="1" applyFont="1" applyFill="1" applyBorder="1"/>
    <xf numFmtId="44" fontId="1" fillId="3" borderId="0" xfId="2" applyFont="1" applyFill="1" applyBorder="1"/>
    <xf numFmtId="44" fontId="2" fillId="3" borderId="16" xfId="2" applyFont="1" applyFill="1" applyBorder="1"/>
    <xf numFmtId="164" fontId="0" fillId="3" borderId="0" xfId="0" applyNumberFormat="1" applyFill="1"/>
    <xf numFmtId="164" fontId="2" fillId="3" borderId="16" xfId="1" applyNumberFormat="1" applyFont="1" applyFill="1" applyBorder="1"/>
    <xf numFmtId="0" fontId="16" fillId="4" borderId="1" xfId="0" applyFont="1" applyFill="1" applyBorder="1" applyAlignment="1">
      <alignment horizontal="left" indent="2"/>
    </xf>
    <xf numFmtId="44" fontId="16" fillId="3" borderId="0" xfId="2" applyFont="1" applyFill="1" applyBorder="1"/>
    <xf numFmtId="44" fontId="16" fillId="4" borderId="0" xfId="2" applyFont="1" applyFill="1" applyBorder="1"/>
    <xf numFmtId="0" fontId="17" fillId="0" borderId="0" xfId="0" applyFont="1"/>
    <xf numFmtId="0" fontId="16" fillId="7" borderId="1" xfId="0" applyFont="1" applyFill="1" applyBorder="1" applyAlignment="1">
      <alignment horizontal="left" indent="2"/>
    </xf>
    <xf numFmtId="44" fontId="16" fillId="7" borderId="0" xfId="2" applyFont="1" applyFill="1" applyBorder="1"/>
    <xf numFmtId="0" fontId="16" fillId="6" borderId="1" xfId="0" applyFont="1" applyFill="1" applyBorder="1" applyAlignment="1">
      <alignment horizontal="left" indent="2"/>
    </xf>
    <xf numFmtId="44" fontId="16" fillId="6" borderId="0" xfId="2" applyFont="1" applyFill="1" applyBorder="1"/>
    <xf numFmtId="0" fontId="16" fillId="0" borderId="0" xfId="0" applyFont="1"/>
    <xf numFmtId="0" fontId="0" fillId="3" borderId="10" xfId="0" applyFill="1" applyBorder="1"/>
    <xf numFmtId="0" fontId="5" fillId="3" borderId="0" xfId="0" applyFont="1" applyFill="1"/>
    <xf numFmtId="6" fontId="3" fillId="3" borderId="1" xfId="0" applyNumberFormat="1" applyFont="1" applyFill="1" applyBorder="1"/>
    <xf numFmtId="10" fontId="9" fillId="3" borderId="0" xfId="3" applyNumberFormat="1" applyFont="1" applyFill="1" applyBorder="1"/>
    <xf numFmtId="0" fontId="0" fillId="3" borderId="17" xfId="0" applyFill="1" applyBorder="1"/>
    <xf numFmtId="0" fontId="18" fillId="0" borderId="0" xfId="0" applyFont="1"/>
    <xf numFmtId="167" fontId="18" fillId="0" borderId="0" xfId="0" applyNumberFormat="1" applyFont="1"/>
    <xf numFmtId="0" fontId="19" fillId="0" borderId="0" xfId="0" applyFont="1"/>
    <xf numFmtId="167" fontId="2" fillId="3" borderId="6" xfId="0" applyNumberFormat="1" applyFont="1" applyFill="1" applyBorder="1"/>
    <xf numFmtId="167" fontId="2" fillId="3" borderId="14" xfId="0" applyNumberFormat="1" applyFont="1" applyFill="1" applyBorder="1"/>
    <xf numFmtId="167" fontId="2" fillId="0" borderId="14" xfId="0" applyNumberFormat="1" applyFont="1" applyBorder="1"/>
    <xf numFmtId="167" fontId="2" fillId="0" borderId="15" xfId="0" applyNumberFormat="1" applyFont="1" applyBorder="1"/>
    <xf numFmtId="6" fontId="0" fillId="3" borderId="0" xfId="0" applyNumberFormat="1" applyFill="1"/>
    <xf numFmtId="167" fontId="0" fillId="3" borderId="5" xfId="2" applyNumberFormat="1" applyFont="1" applyFill="1" applyBorder="1"/>
    <xf numFmtId="167" fontId="0" fillId="3" borderId="12" xfId="2" applyNumberFormat="1" applyFont="1" applyFill="1" applyBorder="1"/>
    <xf numFmtId="167" fontId="0" fillId="6" borderId="1" xfId="2" applyNumberFormat="1" applyFont="1" applyFill="1" applyBorder="1" applyAlignment="1">
      <alignment horizontal="left" indent="1"/>
    </xf>
    <xf numFmtId="164" fontId="11" fillId="0" borderId="0" xfId="0" applyNumberFormat="1" applyFont="1"/>
    <xf numFmtId="166" fontId="3" fillId="0" borderId="0" xfId="0" applyNumberFormat="1" applyFont="1"/>
    <xf numFmtId="44" fontId="0" fillId="7" borderId="7" xfId="2" applyFont="1" applyFill="1" applyBorder="1"/>
    <xf numFmtId="9" fontId="0" fillId="7" borderId="8" xfId="3" applyFont="1" applyFill="1" applyBorder="1"/>
    <xf numFmtId="44" fontId="0" fillId="7" borderId="8" xfId="0" applyNumberFormat="1" applyFill="1" applyBorder="1"/>
    <xf numFmtId="0" fontId="0" fillId="7" borderId="8" xfId="0" applyFill="1" applyBorder="1"/>
    <xf numFmtId="165" fontId="0" fillId="7" borderId="8" xfId="1" applyNumberFormat="1" applyFont="1" applyFill="1" applyBorder="1"/>
    <xf numFmtId="44" fontId="0" fillId="7" borderId="8" xfId="2" applyFont="1" applyFill="1" applyBorder="1"/>
    <xf numFmtId="165" fontId="0" fillId="7" borderId="9" xfId="1" applyNumberFormat="1" applyFont="1" applyFill="1" applyBorder="1"/>
    <xf numFmtId="9" fontId="1" fillId="6" borderId="0" xfId="3" applyFont="1" applyFill="1" applyBorder="1"/>
    <xf numFmtId="165" fontId="1" fillId="6" borderId="0" xfId="1" applyNumberFormat="1" applyFont="1" applyFill="1" applyBorder="1"/>
    <xf numFmtId="44" fontId="0" fillId="4" borderId="7" xfId="2" applyFont="1" applyFill="1" applyBorder="1"/>
    <xf numFmtId="9" fontId="0" fillId="4" borderId="8" xfId="3" applyFont="1" applyFill="1" applyBorder="1"/>
    <xf numFmtId="44" fontId="0" fillId="4" borderId="8" xfId="2" applyFont="1" applyFill="1" applyBorder="1"/>
    <xf numFmtId="0" fontId="0" fillId="4" borderId="8" xfId="0" applyFill="1" applyBorder="1"/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44" fontId="0" fillId="7" borderId="19" xfId="0" applyNumberFormat="1" applyFill="1" applyBorder="1"/>
    <xf numFmtId="44" fontId="1" fillId="6" borderId="10" xfId="2" applyFont="1" applyFill="1" applyBorder="1"/>
    <xf numFmtId="44" fontId="0" fillId="4" borderId="19" xfId="2" applyFont="1" applyFill="1" applyBorder="1"/>
    <xf numFmtId="167" fontId="0" fillId="2" borderId="6" xfId="0" applyNumberFormat="1" applyFill="1" applyBorder="1"/>
    <xf numFmtId="167" fontId="0" fillId="2" borderId="14" xfId="0" applyNumberFormat="1" applyFill="1" applyBorder="1"/>
    <xf numFmtId="167" fontId="0" fillId="2" borderId="15" xfId="0" applyNumberFormat="1" applyFill="1" applyBorder="1"/>
    <xf numFmtId="8" fontId="3" fillId="0" borderId="13" xfId="3" applyNumberFormat="1" applyFont="1" applyBorder="1"/>
    <xf numFmtId="8" fontId="3" fillId="0" borderId="15" xfId="3" applyNumberFormat="1" applyFont="1" applyBorder="1"/>
    <xf numFmtId="6" fontId="3" fillId="0" borderId="2" xfId="3" applyNumberFormat="1" applyFont="1" applyBorder="1"/>
    <xf numFmtId="6" fontId="3" fillId="0" borderId="15" xfId="3" applyNumberFormat="1" applyFont="1" applyBorder="1"/>
    <xf numFmtId="6" fontId="3" fillId="0" borderId="13" xfId="3" applyNumberFormat="1" applyFont="1" applyBorder="1"/>
    <xf numFmtId="8" fontId="3" fillId="0" borderId="0" xfId="3" applyNumberFormat="1" applyFont="1" applyBorder="1"/>
    <xf numFmtId="0" fontId="0" fillId="3" borderId="5" xfId="0" applyFill="1" applyBorder="1"/>
    <xf numFmtId="0" fontId="0" fillId="3" borderId="12" xfId="0" applyFill="1" applyBorder="1"/>
    <xf numFmtId="165" fontId="3" fillId="0" borderId="15" xfId="1" applyNumberFormat="1" applyFont="1" applyBorder="1"/>
    <xf numFmtId="9" fontId="0" fillId="0" borderId="0" xfId="3" applyFont="1" applyFill="1" applyAlignment="1">
      <alignment horizontal="left"/>
    </xf>
    <xf numFmtId="6" fontId="3" fillId="2" borderId="13" xfId="0" applyNumberFormat="1" applyFont="1" applyFill="1" applyBorder="1"/>
    <xf numFmtId="6" fontId="3" fillId="2" borderId="2" xfId="0" applyNumberFormat="1" applyFont="1" applyFill="1" applyBorder="1"/>
    <xf numFmtId="164" fontId="3" fillId="2" borderId="2" xfId="1" applyNumberFormat="1" applyFont="1" applyFill="1" applyBorder="1"/>
    <xf numFmtId="166" fontId="3" fillId="2" borderId="15" xfId="0" applyNumberFormat="1" applyFont="1" applyFill="1" applyBorder="1"/>
    <xf numFmtId="167" fontId="0" fillId="3" borderId="5" xfId="0" applyNumberFormat="1" applyFill="1" applyBorder="1"/>
    <xf numFmtId="167" fontId="0" fillId="3" borderId="12" xfId="0" applyNumberFormat="1" applyFill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3" borderId="6" xfId="0" applyNumberFormat="1" applyFill="1" applyBorder="1"/>
    <xf numFmtId="167" fontId="0" fillId="3" borderId="14" xfId="0" applyNumberFormat="1" applyFill="1" applyBorder="1"/>
    <xf numFmtId="167" fontId="0" fillId="3" borderId="6" xfId="2" applyNumberFormat="1" applyFont="1" applyFill="1" applyBorder="1"/>
    <xf numFmtId="167" fontId="0" fillId="3" borderId="14" xfId="2" applyNumberFormat="1" applyFont="1" applyFill="1" applyBorder="1"/>
    <xf numFmtId="167" fontId="0" fillId="0" borderId="14" xfId="2" applyNumberFormat="1" applyFont="1" applyFill="1" applyBorder="1"/>
    <xf numFmtId="167" fontId="0" fillId="0" borderId="15" xfId="2" applyNumberFormat="1" applyFont="1" applyFill="1" applyBorder="1"/>
    <xf numFmtId="167" fontId="2" fillId="3" borderId="12" xfId="0" applyNumberFormat="1" applyFont="1" applyFill="1" applyBorder="1"/>
    <xf numFmtId="167" fontId="2" fillId="5" borderId="12" xfId="0" applyNumberFormat="1" applyFont="1" applyFill="1" applyBorder="1"/>
    <xf numFmtId="167" fontId="2" fillId="5" borderId="13" xfId="0" applyNumberFormat="1" applyFont="1" applyFill="1" applyBorder="1"/>
    <xf numFmtId="167" fontId="2" fillId="2" borderId="14" xfId="0" applyNumberFormat="1" applyFont="1" applyFill="1" applyBorder="1"/>
    <xf numFmtId="167" fontId="2" fillId="2" borderId="15" xfId="0" applyNumberFormat="1" applyFont="1" applyFill="1" applyBorder="1"/>
    <xf numFmtId="167" fontId="2" fillId="3" borderId="6" xfId="2" applyNumberFormat="1" applyFont="1" applyFill="1" applyBorder="1"/>
    <xf numFmtId="167" fontId="2" fillId="3" borderId="14" xfId="2" applyNumberFormat="1" applyFont="1" applyFill="1" applyBorder="1"/>
    <xf numFmtId="167" fontId="2" fillId="2" borderId="14" xfId="2" applyNumberFormat="1" applyFont="1" applyFill="1" applyBorder="1"/>
    <xf numFmtId="167" fontId="2" fillId="2" borderId="15" xfId="2" applyNumberFormat="1" applyFont="1" applyFill="1" applyBorder="1"/>
    <xf numFmtId="167" fontId="0" fillId="0" borderId="12" xfId="2" applyNumberFormat="1" applyFont="1" applyFill="1" applyBorder="1"/>
    <xf numFmtId="167" fontId="0" fillId="0" borderId="13" xfId="2" applyNumberFormat="1" applyFont="1" applyFill="1" applyBorder="1"/>
    <xf numFmtId="166" fontId="3" fillId="0" borderId="2" xfId="3" applyNumberFormat="1" applyFont="1" applyBorder="1"/>
    <xf numFmtId="8" fontId="11" fillId="0" borderId="0" xfId="2" applyNumberFormat="1" applyFont="1" applyBorder="1"/>
    <xf numFmtId="164" fontId="15" fillId="3" borderId="5" xfId="1" applyNumberFormat="1" applyFont="1" applyFill="1" applyBorder="1"/>
    <xf numFmtId="164" fontId="15" fillId="3" borderId="12" xfId="1" applyNumberFormat="1" applyFont="1" applyFill="1" applyBorder="1"/>
    <xf numFmtId="164" fontId="11" fillId="0" borderId="12" xfId="1" applyNumberFormat="1" applyFont="1" applyBorder="1"/>
    <xf numFmtId="164" fontId="11" fillId="0" borderId="13" xfId="1" applyNumberFormat="1" applyFont="1" applyBorder="1"/>
    <xf numFmtId="44" fontId="15" fillId="3" borderId="6" xfId="2" applyFont="1" applyFill="1" applyBorder="1"/>
    <xf numFmtId="44" fontId="15" fillId="3" borderId="14" xfId="2" applyFont="1" applyFill="1" applyBorder="1"/>
    <xf numFmtId="8" fontId="11" fillId="0" borderId="14" xfId="2" applyNumberFormat="1" applyFont="1" applyBorder="1"/>
    <xf numFmtId="8" fontId="11" fillId="0" borderId="15" xfId="2" applyNumberFormat="1" applyFont="1" applyBorder="1"/>
    <xf numFmtId="167" fontId="0" fillId="6" borderId="5" xfId="2" applyNumberFormat="1" applyFont="1" applyFill="1" applyBorder="1" applyAlignment="1">
      <alignment horizontal="left" indent="1"/>
    </xf>
    <xf numFmtId="44" fontId="16" fillId="6" borderId="2" xfId="2" applyFont="1" applyFill="1" applyBorder="1"/>
    <xf numFmtId="0" fontId="0" fillId="6" borderId="6" xfId="0" applyFill="1" applyBorder="1" applyAlignment="1">
      <alignment horizontal="left" indent="1"/>
    </xf>
    <xf numFmtId="44" fontId="1" fillId="3" borderId="14" xfId="2" applyFont="1" applyFill="1" applyBorder="1"/>
    <xf numFmtId="44" fontId="1" fillId="6" borderId="14" xfId="2" applyFont="1" applyFill="1" applyBorder="1"/>
    <xf numFmtId="44" fontId="1" fillId="6" borderId="15" xfId="2" applyFont="1" applyFill="1" applyBorder="1"/>
    <xf numFmtId="44" fontId="16" fillId="6" borderId="12" xfId="2" applyFont="1" applyFill="1" applyBorder="1"/>
    <xf numFmtId="44" fontId="16" fillId="6" borderId="13" xfId="2" applyFont="1" applyFill="1" applyBorder="1"/>
    <xf numFmtId="0" fontId="0" fillId="7" borderId="0" xfId="0" applyFill="1"/>
    <xf numFmtId="0" fontId="0" fillId="7" borderId="2" xfId="0" applyFill="1" applyBorder="1"/>
    <xf numFmtId="167" fontId="0" fillId="7" borderId="2" xfId="2" applyNumberFormat="1" applyFont="1" applyFill="1" applyBorder="1"/>
    <xf numFmtId="44" fontId="0" fillId="7" borderId="0" xfId="0" applyNumberFormat="1" applyFill="1"/>
    <xf numFmtId="44" fontId="0" fillId="7" borderId="2" xfId="0" applyNumberFormat="1" applyFill="1" applyBorder="1"/>
    <xf numFmtId="164" fontId="0" fillId="7" borderId="2" xfId="1" applyNumberFormat="1" applyFont="1" applyFill="1" applyBorder="1"/>
    <xf numFmtId="10" fontId="0" fillId="7" borderId="2" xfId="3" applyNumberFormat="1" applyFont="1" applyFill="1" applyBorder="1"/>
    <xf numFmtId="164" fontId="0" fillId="7" borderId="4" xfId="0" applyNumberFormat="1" applyFill="1" applyBorder="1"/>
    <xf numFmtId="44" fontId="16" fillId="7" borderId="2" xfId="2" applyFont="1" applyFill="1" applyBorder="1"/>
    <xf numFmtId="44" fontId="7" fillId="7" borderId="2" xfId="2" applyFont="1" applyFill="1" applyBorder="1"/>
    <xf numFmtId="164" fontId="1" fillId="7" borderId="2" xfId="1" applyNumberFormat="1" applyFont="1" applyFill="1" applyBorder="1"/>
    <xf numFmtId="44" fontId="1" fillId="7" borderId="2" xfId="2" applyFont="1" applyFill="1" applyBorder="1"/>
    <xf numFmtId="44" fontId="2" fillId="7" borderId="4" xfId="2" applyFont="1" applyFill="1" applyBorder="1"/>
    <xf numFmtId="167" fontId="0" fillId="7" borderId="1" xfId="2" applyNumberFormat="1" applyFont="1" applyFill="1" applyBorder="1" applyAlignment="1">
      <alignment horizontal="left" indent="1"/>
    </xf>
    <xf numFmtId="167" fontId="0" fillId="4" borderId="1" xfId="2" applyNumberFormat="1" applyFont="1" applyFill="1" applyBorder="1" applyAlignment="1">
      <alignment horizontal="left" indent="1"/>
    </xf>
    <xf numFmtId="0" fontId="0" fillId="4" borderId="2" xfId="0" applyFill="1" applyBorder="1"/>
    <xf numFmtId="167" fontId="0" fillId="4" borderId="2" xfId="2" applyNumberFormat="1" applyFont="1" applyFill="1" applyBorder="1"/>
    <xf numFmtId="44" fontId="0" fillId="4" borderId="0" xfId="0" applyNumberFormat="1" applyFill="1"/>
    <xf numFmtId="44" fontId="0" fillId="4" borderId="2" xfId="0" applyNumberFormat="1" applyFill="1" applyBorder="1"/>
    <xf numFmtId="164" fontId="0" fillId="4" borderId="2" xfId="1" applyNumberFormat="1" applyFont="1" applyFill="1" applyBorder="1"/>
    <xf numFmtId="10" fontId="0" fillId="4" borderId="2" xfId="3" applyNumberFormat="1" applyFont="1" applyFill="1" applyBorder="1"/>
    <xf numFmtId="164" fontId="0" fillId="4" borderId="4" xfId="0" applyNumberFormat="1" applyFill="1" applyBorder="1"/>
    <xf numFmtId="44" fontId="16" fillId="4" borderId="2" xfId="2" applyFont="1" applyFill="1" applyBorder="1"/>
    <xf numFmtId="44" fontId="7" fillId="4" borderId="2" xfId="2" applyFont="1" applyFill="1" applyBorder="1"/>
    <xf numFmtId="164" fontId="2" fillId="3" borderId="0" xfId="0" applyNumberFormat="1" applyFont="1" applyFill="1"/>
    <xf numFmtId="0" fontId="16" fillId="8" borderId="1" xfId="0" applyFont="1" applyFill="1" applyBorder="1" applyAlignment="1">
      <alignment horizontal="left" indent="2"/>
    </xf>
    <xf numFmtId="167" fontId="0" fillId="8" borderId="1" xfId="2" applyNumberFormat="1" applyFont="1" applyFill="1" applyBorder="1" applyAlignment="1">
      <alignment horizontal="left" indent="1"/>
    </xf>
    <xf numFmtId="167" fontId="0" fillId="3" borderId="0" xfId="2" applyNumberFormat="1" applyFont="1" applyFill="1"/>
    <xf numFmtId="167" fontId="0" fillId="8" borderId="0" xfId="2" applyNumberFormat="1" applyFont="1" applyFill="1"/>
    <xf numFmtId="167" fontId="0" fillId="8" borderId="2" xfId="2" applyNumberFormat="1" applyFont="1" applyFill="1" applyBorder="1"/>
    <xf numFmtId="44" fontId="20" fillId="8" borderId="0" xfId="0" applyNumberFormat="1" applyFont="1" applyFill="1"/>
    <xf numFmtId="44" fontId="20" fillId="8" borderId="2" xfId="0" applyNumberFormat="1" applyFont="1" applyFill="1" applyBorder="1"/>
    <xf numFmtId="44" fontId="16" fillId="3" borderId="0" xfId="2" applyFont="1" applyFill="1" applyBorder="1" applyAlignment="1">
      <alignment horizontal="left" indent="2"/>
    </xf>
    <xf numFmtId="9" fontId="0" fillId="0" borderId="0" xfId="3" applyFont="1" applyFill="1"/>
    <xf numFmtId="8" fontId="0" fillId="0" borderId="0" xfId="0" applyNumberFormat="1"/>
    <xf numFmtId="43" fontId="0" fillId="0" borderId="0" xfId="1" applyFont="1"/>
    <xf numFmtId="0" fontId="0" fillId="2" borderId="0" xfId="0" applyFill="1"/>
    <xf numFmtId="9" fontId="0" fillId="2" borderId="0" xfId="3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ill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0F8"/>
      <color rgb="FFFFBCD1"/>
      <color rgb="FFFDB9CA"/>
      <color rgb="FFFAFFBB"/>
      <color rgb="FFF7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251792548277841E-2"/>
          <c:y val="2.4256204525067281E-2"/>
          <c:w val="0.89705793340078299"/>
          <c:h val="0.92609538522874513"/>
        </c:manualLayout>
      </c:layout>
      <c:lineChart>
        <c:grouping val="standard"/>
        <c:varyColors val="0"/>
        <c:ser>
          <c:idx val="1"/>
          <c:order val="0"/>
          <c:tx>
            <c:v>Profit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Charts!$D$4:$BK$4</c:f>
              <c:numCache>
                <c:formatCode>General</c:formatCode>
                <c:ptCount val="60"/>
              </c:numCache>
            </c:numRef>
          </c:cat>
          <c:val>
            <c:numRef>
              <c:f>'Income Statement - Monthly'!$D$51:$BK$51</c:f>
              <c:numCache>
                <c:formatCode>_("$"* #,##0_);_("$"* \(#,##0\);_("$"* "-"??_);_(@_)</c:formatCode>
                <c:ptCount val="60"/>
                <c:pt idx="0">
                  <c:v>47866</c:v>
                </c:pt>
                <c:pt idx="1">
                  <c:v>53736</c:v>
                </c:pt>
                <c:pt idx="2">
                  <c:v>52301</c:v>
                </c:pt>
                <c:pt idx="3">
                  <c:v>85376.678</c:v>
                </c:pt>
                <c:pt idx="4">
                  <c:v>111234.94241664265</c:v>
                </c:pt>
                <c:pt idx="5">
                  <c:v>114302.65135464264</c:v>
                </c:pt>
                <c:pt idx="6">
                  <c:v>129074.49700768266</c:v>
                </c:pt>
                <c:pt idx="7">
                  <c:v>132002.49031296585</c:v>
                </c:pt>
                <c:pt idx="8">
                  <c:v>134860.64308267171</c:v>
                </c:pt>
                <c:pt idx="9">
                  <c:v>137648.96807395405</c:v>
                </c:pt>
                <c:pt idx="10">
                  <c:v>141027.47906453896</c:v>
                </c:pt>
                <c:pt idx="11">
                  <c:v>143676.19093437065</c:v>
                </c:pt>
                <c:pt idx="12">
                  <c:v>160855.11975378889</c:v>
                </c:pt>
                <c:pt idx="13">
                  <c:v>163392.2828787606</c:v>
                </c:pt>
                <c:pt idx="14">
                  <c:v>166519.69905373</c:v>
                </c:pt>
                <c:pt idx="15">
                  <c:v>168931.388522697</c:v>
                </c:pt>
                <c:pt idx="16">
                  <c:v>171287.37314918137</c:v>
                </c:pt>
                <c:pt idx="17">
                  <c:v>173587.67654578446</c:v>
                </c:pt>
                <c:pt idx="18">
                  <c:v>198692.3242141158</c:v>
                </c:pt>
                <c:pt idx="19">
                  <c:v>200881.34369591365</c:v>
                </c:pt>
                <c:pt idx="20">
                  <c:v>203028.76473625534</c:v>
                </c:pt>
                <c:pt idx="21">
                  <c:v>205120.61945982435</c:v>
                </c:pt>
                <c:pt idx="22">
                  <c:v>207830.94256127888</c:v>
                </c:pt>
                <c:pt idx="23">
                  <c:v>209839.77151084977</c:v>
                </c:pt>
                <c:pt idx="24">
                  <c:v>202931.06608474371</c:v>
                </c:pt>
                <c:pt idx="25">
                  <c:v>204857.03137152319</c:v>
                </c:pt>
                <c:pt idx="26">
                  <c:v>206741.63388124504</c:v>
                </c:pt>
                <c:pt idx="27">
                  <c:v>209244.92459174464</c:v>
                </c:pt>
                <c:pt idx="28">
                  <c:v>211046.95855908422</c:v>
                </c:pt>
                <c:pt idx="29">
                  <c:v>212821.79524381095</c:v>
                </c:pt>
                <c:pt idx="30">
                  <c:v>214569.49886331585</c:v>
                </c:pt>
                <c:pt idx="31">
                  <c:v>216290.13877238109</c:v>
                </c:pt>
                <c:pt idx="32">
                  <c:v>217955.78987417161</c:v>
                </c:pt>
                <c:pt idx="33">
                  <c:v>220268.53306410532</c:v>
                </c:pt>
                <c:pt idx="34">
                  <c:v>221894.45570923373</c:v>
                </c:pt>
                <c:pt idx="35">
                  <c:v>223493.65216597245</c:v>
                </c:pt>
                <c:pt idx="36">
                  <c:v>225080.22433925024</c:v>
                </c:pt>
                <c:pt idx="37">
                  <c:v>226640.28228639025</c:v>
                </c:pt>
                <c:pt idx="38">
                  <c:v>228173.94486930149</c:v>
                </c:pt>
                <c:pt idx="39">
                  <c:v>230369.3404588456</c:v>
                </c:pt>
                <c:pt idx="40">
                  <c:v>231878.60769555325</c:v>
                </c:pt>
                <c:pt idx="41">
                  <c:v>233375.89631119749</c:v>
                </c:pt>
                <c:pt idx="42">
                  <c:v>234875.3680160933</c:v>
                </c:pt>
                <c:pt idx="43">
                  <c:v>236363.19745738077</c:v>
                </c:pt>
                <c:pt idx="44">
                  <c:v>237839.57325397123</c:v>
                </c:pt>
                <c:pt idx="45">
                  <c:v>239318.69911428893</c:v>
                </c:pt>
                <c:pt idx="46">
                  <c:v>241460.79504343204</c:v>
                </c:pt>
                <c:pt idx="47">
                  <c:v>242946.09864690661</c:v>
                </c:pt>
                <c:pt idx="48">
                  <c:v>244434.86653865915</c:v>
                </c:pt>
                <c:pt idx="49">
                  <c:v>245955.37586175185</c:v>
                </c:pt>
                <c:pt idx="50">
                  <c:v>247479.925930692</c:v>
                </c:pt>
                <c:pt idx="51">
                  <c:v>249022.84000514739</c:v>
                </c:pt>
                <c:pt idx="52">
                  <c:v>251258.46720555917</c:v>
                </c:pt>
                <c:pt idx="53">
                  <c:v>252853.18458200392</c:v>
                </c:pt>
                <c:pt idx="54">
                  <c:v>254467.39934856421</c:v>
                </c:pt>
                <c:pt idx="55">
                  <c:v>256129.55129644932</c:v>
                </c:pt>
                <c:pt idx="56">
                  <c:v>257840.11540016529</c:v>
                </c:pt>
                <c:pt idx="57">
                  <c:v>259599.6046321785</c:v>
                </c:pt>
                <c:pt idx="58">
                  <c:v>262068.57300275279</c:v>
                </c:pt>
                <c:pt idx="59">
                  <c:v>263941.61884297302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3-BE47-B45E-042212DF46D0}"/>
            </c:ext>
          </c:extLst>
        </c:ser>
        <c:ser>
          <c:idx val="0"/>
          <c:order val="1"/>
          <c:tx>
            <c:v>Revenue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Charts!$D$4:$BK$4</c:f>
              <c:numCache>
                <c:formatCode>General</c:formatCode>
                <c:ptCount val="60"/>
              </c:numCache>
            </c:numRef>
          </c:cat>
          <c:val>
            <c:numRef>
              <c:f>'Income Statement - Monthly'!$D$10:$BK$10</c:f>
              <c:numCache>
                <c:formatCode>_("$"* #,##0_);_("$"* \(#,##0\);_("$"* "-"??_);_(@_)</c:formatCode>
                <c:ptCount val="60"/>
                <c:pt idx="0">
                  <c:v>23467.5</c:v>
                </c:pt>
                <c:pt idx="1">
                  <c:v>24457.5</c:v>
                </c:pt>
                <c:pt idx="2">
                  <c:v>38122</c:v>
                </c:pt>
                <c:pt idx="3">
                  <c:v>53067.265570894335</c:v>
                </c:pt>
                <c:pt idx="4">
                  <c:v>66133.562885364416</c:v>
                </c:pt>
                <c:pt idx="5">
                  <c:v>73803.502382004415</c:v>
                </c:pt>
                <c:pt idx="6">
                  <c:v>81333.837038375612</c:v>
                </c:pt>
                <c:pt idx="7">
                  <c:v>88654.59846725651</c:v>
                </c:pt>
                <c:pt idx="8">
                  <c:v>95800.820810447884</c:v>
                </c:pt>
                <c:pt idx="9">
                  <c:v>102772.54094109456</c:v>
                </c:pt>
                <c:pt idx="10">
                  <c:v>109569.79868219297</c:v>
                </c:pt>
                <c:pt idx="11">
                  <c:v>116192.63704257926</c:v>
                </c:pt>
                <c:pt idx="12">
                  <c:v>122641.10247179643</c:v>
                </c:pt>
                <c:pt idx="13">
                  <c:v>128985.245135351</c:v>
                </c:pt>
                <c:pt idx="14">
                  <c:v>135155.11921198992</c:v>
                </c:pt>
                <c:pt idx="15">
                  <c:v>141185.78321475998</c:v>
                </c:pt>
                <c:pt idx="16">
                  <c:v>147077.30033775163</c:v>
                </c:pt>
                <c:pt idx="17">
                  <c:v>152829.73883058259</c:v>
                </c:pt>
                <c:pt idx="18">
                  <c:v>158443.17240284002</c:v>
                </c:pt>
                <c:pt idx="19">
                  <c:v>163917.6806608781</c:v>
                </c:pt>
                <c:pt idx="20">
                  <c:v>169288.3495795592</c:v>
                </c:pt>
                <c:pt idx="21">
                  <c:v>174520.27201173478</c:v>
                </c:pt>
                <c:pt idx="22">
                  <c:v>179648.54823848442</c:v>
                </c:pt>
                <c:pt idx="23">
                  <c:v>184673.28656337401</c:v>
                </c:pt>
                <c:pt idx="24">
                  <c:v>143485.09386779944</c:v>
                </c:pt>
                <c:pt idx="25">
                  <c:v>148303.11664995068</c:v>
                </c:pt>
                <c:pt idx="26">
                  <c:v>153017.981254674</c:v>
                </c:pt>
                <c:pt idx="27">
                  <c:v>157629.8350277752</c:v>
                </c:pt>
                <c:pt idx="28">
                  <c:v>162138.83710272447</c:v>
                </c:pt>
                <c:pt idx="29">
                  <c:v>166580.15934366971</c:v>
                </c:pt>
                <c:pt idx="30">
                  <c:v>170953.98736389054</c:v>
                </c:pt>
                <c:pt idx="31">
                  <c:v>175260.52162572904</c:v>
                </c:pt>
                <c:pt idx="32">
                  <c:v>179429.97862851465</c:v>
                </c:pt>
                <c:pt idx="33">
                  <c:v>183567.59219152312</c:v>
                </c:pt>
                <c:pt idx="34">
                  <c:v>187638.61483957223</c:v>
                </c:pt>
                <c:pt idx="35">
                  <c:v>191643.31929946528</c:v>
                </c:pt>
                <c:pt idx="36">
                  <c:v>195617.00011614978</c:v>
                </c:pt>
                <c:pt idx="37">
                  <c:v>199524.97539816902</c:v>
                </c:pt>
                <c:pt idx="38">
                  <c:v>203367.58870274984</c:v>
                </c:pt>
                <c:pt idx="39">
                  <c:v>207215.21107169709</c:v>
                </c:pt>
                <c:pt idx="40">
                  <c:v>210998.24323016012</c:v>
                </c:pt>
                <c:pt idx="41">
                  <c:v>214752.11796130022</c:v>
                </c:pt>
                <c:pt idx="42">
                  <c:v>218512.3026709315</c:v>
                </c:pt>
                <c:pt idx="43">
                  <c:v>222244.3021573333</c:v>
                </c:pt>
                <c:pt idx="44">
                  <c:v>225948.66160264722</c:v>
                </c:pt>
                <c:pt idx="45">
                  <c:v>229660.96980358628</c:v>
                </c:pt>
                <c:pt idx="46">
                  <c:v>233381.86266060045</c:v>
                </c:pt>
                <c:pt idx="47">
                  <c:v>237112.02694617576</c:v>
                </c:pt>
                <c:pt idx="48">
                  <c:v>240852.20437459709</c:v>
                </c:pt>
                <c:pt idx="49">
                  <c:v>244673.19599729215</c:v>
                </c:pt>
                <c:pt idx="50">
                  <c:v>248505.86694980279</c:v>
                </c:pt>
                <c:pt idx="51">
                  <c:v>252386.15157851425</c:v>
                </c:pt>
                <c:pt idx="52">
                  <c:v>256350.05897752268</c:v>
                </c:pt>
                <c:pt idx="53">
                  <c:v>260363.67896845177</c:v>
                </c:pt>
                <c:pt idx="54">
                  <c:v>264428.18855865515</c:v>
                </c:pt>
                <c:pt idx="55">
                  <c:v>268614.85891607491</c:v>
                </c:pt>
                <c:pt idx="56">
                  <c:v>272925.06290208816</c:v>
                </c:pt>
                <c:pt idx="57">
                  <c:v>277360.28320698248</c:v>
                </c:pt>
                <c:pt idx="58">
                  <c:v>281922.12113626837</c:v>
                </c:pt>
                <c:pt idx="59">
                  <c:v>286647.30609989708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8-FC43-B607-8777A70D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11759"/>
        <c:axId val="899413471"/>
      </c:lineChart>
      <c:catAx>
        <c:axId val="89941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413471"/>
        <c:crosses val="autoZero"/>
        <c:auto val="1"/>
        <c:lblAlgn val="ctr"/>
        <c:lblOffset val="100"/>
        <c:noMultiLvlLbl val="0"/>
      </c:catAx>
      <c:valAx>
        <c:axId val="89941347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'Balance Sheet - Monthly'!$B$6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'Balance Sheet - Monthly'!$C$6:$BJ$6</c:f>
              <c:numCache>
                <c:formatCode>_("$"* #,##0_);_("$"* \(#,##0\);_("$"* "-"??_);_(@_)</c:formatCode>
                <c:ptCount val="60"/>
                <c:pt idx="0">
                  <c:v>33133.833333333336</c:v>
                </c:pt>
                <c:pt idx="1">
                  <c:v>9671.279444444448</c:v>
                </c:pt>
                <c:pt idx="2">
                  <c:v>493755.51704259263</c:v>
                </c:pt>
                <c:pt idx="3">
                  <c:v>493640.79533696227</c:v>
                </c:pt>
                <c:pt idx="4">
                  <c:v>474422.76733179524</c:v>
                </c:pt>
                <c:pt idx="5">
                  <c:v>437422.13205259631</c:v>
                </c:pt>
                <c:pt idx="6">
                  <c:v>393131.71868331794</c:v>
                </c:pt>
                <c:pt idx="7">
                  <c:v>352924.01255252794</c:v>
                </c:pt>
                <c:pt idx="8">
                  <c:v>316826.68004033214</c:v>
                </c:pt>
                <c:pt idx="9">
                  <c:v>284748.75433658157</c:v>
                </c:pt>
                <c:pt idx="10">
                  <c:v>255948.99196398331</c:v>
                </c:pt>
                <c:pt idx="11">
                  <c:v>230973.70731365436</c:v>
                </c:pt>
                <c:pt idx="12">
                  <c:v>195741.0667990832</c:v>
                </c:pt>
                <c:pt idx="13">
                  <c:v>163571.83084082304</c:v>
                </c:pt>
                <c:pt idx="14">
                  <c:v>134304.19852270372</c:v>
                </c:pt>
                <c:pt idx="15">
                  <c:v>108513.11861099256</c:v>
                </c:pt>
                <c:pt idx="16">
                  <c:v>86136.74850817502</c:v>
                </c:pt>
                <c:pt idx="17">
                  <c:v>67103.084986301954</c:v>
                </c:pt>
                <c:pt idx="18">
                  <c:v>1028689.9339591461</c:v>
                </c:pt>
                <c:pt idx="19">
                  <c:v>996522.74711154005</c:v>
                </c:pt>
                <c:pt idx="20">
                  <c:v>967445.5349653865</c:v>
                </c:pt>
                <c:pt idx="21">
                  <c:v>941376.68332896603</c:v>
                </c:pt>
                <c:pt idx="22">
                  <c:v>917622.87283466209</c:v>
                </c:pt>
                <c:pt idx="23">
                  <c:v>896769.79527142062</c:v>
                </c:pt>
                <c:pt idx="24">
                  <c:v>837103.70299232798</c:v>
                </c:pt>
                <c:pt idx="25">
                  <c:v>784542.86659078626</c:v>
                </c:pt>
                <c:pt idx="26">
                  <c:v>734611.15810771217</c:v>
                </c:pt>
                <c:pt idx="27">
                  <c:v>686605.66775935155</c:v>
                </c:pt>
                <c:pt idx="28">
                  <c:v>641111.24884585943</c:v>
                </c:pt>
                <c:pt idx="29">
                  <c:v>598114.56878423446</c:v>
                </c:pt>
                <c:pt idx="30">
                  <c:v>557583.62432384235</c:v>
                </c:pt>
                <c:pt idx="31">
                  <c:v>519486.43921280239</c:v>
                </c:pt>
                <c:pt idx="32">
                  <c:v>483731.57498208334</c:v>
                </c:pt>
                <c:pt idx="33">
                  <c:v>449684.19428774161</c:v>
                </c:pt>
                <c:pt idx="34">
                  <c:v>417941.51205493679</c:v>
                </c:pt>
                <c:pt idx="35">
                  <c:v>388481.66579031543</c:v>
                </c:pt>
                <c:pt idx="36">
                  <c:v>361302.6665398216</c:v>
                </c:pt>
                <c:pt idx="37">
                  <c:v>336364.23084696976</c:v>
                </c:pt>
                <c:pt idx="38">
                  <c:v>313634.920074697</c:v>
                </c:pt>
                <c:pt idx="39">
                  <c:v>292492.93821590283</c:v>
                </c:pt>
                <c:pt idx="40">
                  <c:v>273527.68382958323</c:v>
                </c:pt>
                <c:pt idx="41">
                  <c:v>256748.05873360668</c:v>
                </c:pt>
                <c:pt idx="42">
                  <c:v>242174.30610333817</c:v>
                </c:pt>
                <c:pt idx="43">
                  <c:v>229788.57321094553</c:v>
                </c:pt>
                <c:pt idx="44">
                  <c:v>219582.06136861991</c:v>
                </c:pt>
                <c:pt idx="45">
                  <c:v>211576.08519263816</c:v>
                </c:pt>
                <c:pt idx="46">
                  <c:v>205133.70439168694</c:v>
                </c:pt>
                <c:pt idx="47">
                  <c:v>200906.31350733232</c:v>
                </c:pt>
                <c:pt idx="48">
                  <c:v>198917.97300083764</c:v>
                </c:pt>
                <c:pt idx="49">
                  <c:v>199242.85770792706</c:v>
                </c:pt>
                <c:pt idx="50">
                  <c:v>201878.96662053434</c:v>
                </c:pt>
                <c:pt idx="51">
                  <c:v>206872.16511986402</c:v>
                </c:pt>
                <c:pt idx="52">
                  <c:v>213640.14437576628</c:v>
                </c:pt>
                <c:pt idx="53">
                  <c:v>222850.88126502241</c:v>
                </c:pt>
                <c:pt idx="54">
                  <c:v>234554.11412927689</c:v>
                </c:pt>
                <c:pt idx="55">
                  <c:v>248850.09476994266</c:v>
                </c:pt>
                <c:pt idx="56">
                  <c:v>265822.82463962334</c:v>
                </c:pt>
                <c:pt idx="57">
                  <c:v>285557.573912566</c:v>
                </c:pt>
                <c:pt idx="58">
                  <c:v>307490.96481107728</c:v>
                </c:pt>
                <c:pt idx="59">
                  <c:v>332378.64487081498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FA4B-8608-D852FF87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51504"/>
        <c:axId val="1436977728"/>
      </c:areaChart>
      <c:catAx>
        <c:axId val="143665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7728"/>
        <c:crosses val="autoZero"/>
        <c:auto val="1"/>
        <c:lblAlgn val="ctr"/>
        <c:lblOffset val="100"/>
        <c:noMultiLvlLbl val="0"/>
      </c:catAx>
      <c:valAx>
        <c:axId val="143697772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'Balance Sheet - Monthly'!$B$32</c:f>
              <c:strCache>
                <c:ptCount val="1"/>
                <c:pt idx="0">
                  <c:v>Founders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'Balance Sheet - Monthly'!$C$32:$BJ$32</c:f>
              <c:numCache>
                <c:formatCode>_("$"* #,##0_);_("$"* \(#,##0\);_("$"* "-"??_);_(@_)</c:formatCode>
                <c:ptCount val="60"/>
                <c:pt idx="0">
                  <c:v>1408050</c:v>
                </c:pt>
                <c:pt idx="1">
                  <c:v>1467450</c:v>
                </c:pt>
                <c:pt idx="2">
                  <c:v>1731828</c:v>
                </c:pt>
                <c:pt idx="3">
                  <c:v>2410770.0645063426</c:v>
                </c:pt>
                <c:pt idx="4">
                  <c:v>3004353.2853636979</c:v>
                </c:pt>
                <c:pt idx="5">
                  <c:v>3352787.6796396291</c:v>
                </c:pt>
                <c:pt idx="6">
                  <c:v>3694880.0254576346</c:v>
                </c:pt>
                <c:pt idx="7">
                  <c:v>4027451.7589410809</c:v>
                </c:pt>
                <c:pt idx="8">
                  <c:v>4352094.4311032034</c:v>
                </c:pt>
                <c:pt idx="9">
                  <c:v>4668809.7170382952</c:v>
                </c:pt>
                <c:pt idx="10">
                  <c:v>4977599.4258481944</c:v>
                </c:pt>
                <c:pt idx="11">
                  <c:v>5278465.5113628861</c:v>
                </c:pt>
                <c:pt idx="12">
                  <c:v>5571410.0837187516</c:v>
                </c:pt>
                <c:pt idx="13">
                  <c:v>5859615.4218630884</c:v>
                </c:pt>
                <c:pt idx="14">
                  <c:v>6139903.9870589701</c:v>
                </c:pt>
                <c:pt idx="15">
                  <c:v>6413868.4374705246</c:v>
                </c:pt>
                <c:pt idx="16">
                  <c:v>6681511.6439150032</c:v>
                </c:pt>
                <c:pt idx="17">
                  <c:v>6942836.7068750374</c:v>
                </c:pt>
                <c:pt idx="18">
                  <c:v>7197846.9748718757</c:v>
                </c:pt>
                <c:pt idx="19">
                  <c:v>6701891.4578776164</c:v>
                </c:pt>
                <c:pt idx="20">
                  <c:v>6921475.092809977</c:v>
                </c:pt>
                <c:pt idx="21">
                  <c:v>7135385.9785369281</c:v>
                </c:pt>
                <c:pt idx="22">
                  <c:v>7345059.2151220348</c:v>
                </c:pt>
                <c:pt idx="23">
                  <c:v>7550499.2306339499</c:v>
                </c:pt>
                <c:pt idx="24">
                  <c:v>5866490.5521377428</c:v>
                </c:pt>
                <c:pt idx="25">
                  <c:v>6063478.8550308393</c:v>
                </c:pt>
                <c:pt idx="26">
                  <c:v>6256249.4621553849</c:v>
                </c:pt>
                <c:pt idx="27">
                  <c:v>6444808.3978498941</c:v>
                </c:pt>
                <c:pt idx="28">
                  <c:v>6629162.1683999635</c:v>
                </c:pt>
                <c:pt idx="29">
                  <c:v>6810748.8005940383</c:v>
                </c:pt>
                <c:pt idx="30">
                  <c:v>6989575.883363639</c:v>
                </c:pt>
                <c:pt idx="31">
                  <c:v>7165651.6127548069</c:v>
                </c:pt>
                <c:pt idx="32">
                  <c:v>7336122.8404972693</c:v>
                </c:pt>
                <c:pt idx="33">
                  <c:v>7505292.1264591292</c:v>
                </c:pt>
                <c:pt idx="34">
                  <c:v>7671738.7952979375</c:v>
                </c:pt>
                <c:pt idx="35">
                  <c:v>7835473.9976438517</c:v>
                </c:pt>
                <c:pt idx="36">
                  <c:v>7997940.776177437</c:v>
                </c:pt>
                <c:pt idx="37">
                  <c:v>8157721.13699371</c:v>
                </c:pt>
                <c:pt idx="38">
                  <c:v>8314829.1266752854</c:v>
                </c:pt>
                <c:pt idx="39">
                  <c:v>8472141.9155313857</c:v>
                </c:pt>
                <c:pt idx="40">
                  <c:v>8626813.8874959759</c:v>
                </c:pt>
                <c:pt idx="41">
                  <c:v>8780293.7372177318</c:v>
                </c:pt>
                <c:pt idx="42">
                  <c:v>8934031.574917227</c:v>
                </c:pt>
                <c:pt idx="43">
                  <c:v>9086617.0396326836</c:v>
                </c:pt>
                <c:pt idx="44">
                  <c:v>9238072.4215253741</c:v>
                </c:pt>
                <c:pt idx="45">
                  <c:v>9389852.793969484</c:v>
                </c:pt>
                <c:pt idx="46">
                  <c:v>9541984.1562091205</c:v>
                </c:pt>
                <c:pt idx="47">
                  <c:v>9694494.587427929</c:v>
                </c:pt>
                <c:pt idx="48">
                  <c:v>9847414.4131442402</c:v>
                </c:pt>
                <c:pt idx="49">
                  <c:v>10003638.384917859</c:v>
                </c:pt>
                <c:pt idx="50">
                  <c:v>10160339.874433367</c:v>
                </c:pt>
                <c:pt idx="51">
                  <c:v>10318988.083110111</c:v>
                </c:pt>
                <c:pt idx="52">
                  <c:v>10481055.268480999</c:v>
                </c:pt>
                <c:pt idx="53">
                  <c:v>10645154.988681555</c:v>
                </c:pt>
                <c:pt idx="54">
                  <c:v>10811335.366498157</c:v>
                </c:pt>
                <c:pt idx="55">
                  <c:v>10982510.374540091</c:v>
                </c:pt>
                <c:pt idx="56">
                  <c:v>11158736.143225376</c:v>
                </c:pt>
                <c:pt idx="57">
                  <c:v>11340073.293405483</c:v>
                </c:pt>
                <c:pt idx="58">
                  <c:v>11526587.295599999</c:v>
                </c:pt>
                <c:pt idx="59">
                  <c:v>11719779.857970079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B-364D-B26E-9EE8BD62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106336"/>
        <c:axId val="1075913520"/>
      </c:areaChart>
      <c:catAx>
        <c:axId val="143710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3520"/>
        <c:crosses val="autoZero"/>
        <c:auto val="1"/>
        <c:lblAlgn val="ctr"/>
        <c:lblOffset val="100"/>
        <c:noMultiLvlLbl val="0"/>
      </c:catAx>
      <c:valAx>
        <c:axId val="10759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</xdr:row>
      <xdr:rowOff>190500</xdr:rowOff>
    </xdr:from>
    <xdr:to>
      <xdr:col>14</xdr:col>
      <xdr:colOff>609600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C0C2A-E86E-6C4F-BE70-B5EBB28A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24</xdr:row>
      <xdr:rowOff>25400</xdr:rowOff>
    </xdr:from>
    <xdr:to>
      <xdr:col>14</xdr:col>
      <xdr:colOff>584200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4CCA-D3C5-8D46-A45E-4EB9009E9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44</xdr:row>
      <xdr:rowOff>38100</xdr:rowOff>
    </xdr:from>
    <xdr:to>
      <xdr:col>14</xdr:col>
      <xdr:colOff>584200</xdr:colOff>
      <xdr:row>64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E6586-2EBC-164C-8738-96C164F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oy Henikoff" id="{69CADD66-7120-E04D-8BE1-A20C6DCE1F68}" userId="68da2510fadb6fd0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4" dT="2023-09-30T20:37:19.43" personId="{69CADD66-7120-E04D-8BE1-A20C6DCE1F68}" id="{83754504-4ED3-594A-A698-408ED34AF40D}">
    <text xml:space="preserve">I HATE modeling a MoM growth rate as an input, but for organic, I am not sure how else to approximate it…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4" dT="2024-05-04T23:54:08.17" personId="{69CADD66-7120-E04D-8BE1-A20C6DCE1F68}" id="{20927704-6019-9445-B64E-D603CCAA5AE9}">
    <text>NOTE: Calculated what this FIRST MONTH retained earnings must have been given current cash and original investment amount…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E0B3-5996-324B-94D3-C00D2AE56BD5}">
  <dimension ref="B1:K82"/>
  <sheetViews>
    <sheetView zoomScale="180" zoomScaleNormal="180" workbookViewId="0">
      <selection activeCell="I21" sqref="I21"/>
    </sheetView>
    <sheetView tabSelected="1" topLeftCell="A10" zoomScale="180" zoomScaleNormal="180" workbookViewId="1">
      <selection activeCell="C26" sqref="C26"/>
    </sheetView>
  </sheetViews>
  <sheetFormatPr baseColWidth="10" defaultRowHeight="16" x14ac:dyDescent="0.2"/>
  <cols>
    <col min="1" max="1" width="3" customWidth="1"/>
    <col min="2" max="2" width="45.83203125" customWidth="1"/>
    <col min="3" max="3" width="14" bestFit="1" customWidth="1"/>
    <col min="4" max="5" width="5.33203125" customWidth="1"/>
    <col min="6" max="6" width="17.83203125" bestFit="1" customWidth="1"/>
    <col min="7" max="7" width="11.5" bestFit="1" customWidth="1"/>
    <col min="8" max="8" width="12.83203125" customWidth="1"/>
    <col min="9" max="9" width="6.5" customWidth="1"/>
    <col min="10" max="10" width="34" bestFit="1" customWidth="1"/>
    <col min="11" max="11" width="12.5" customWidth="1"/>
  </cols>
  <sheetData>
    <row r="1" spans="2:11" x14ac:dyDescent="0.2">
      <c r="B1" t="s">
        <v>223</v>
      </c>
    </row>
    <row r="2" spans="2:11" ht="6" customHeight="1" thickBot="1" x14ac:dyDescent="0.25"/>
    <row r="3" spans="2:11" ht="17" thickBot="1" x14ac:dyDescent="0.25">
      <c r="B3" s="450" t="s">
        <v>220</v>
      </c>
      <c r="C3" s="451"/>
      <c r="D3" s="1"/>
      <c r="E3" s="1"/>
      <c r="F3" s="450" t="s">
        <v>203</v>
      </c>
      <c r="G3" s="451"/>
      <c r="H3" s="1"/>
      <c r="I3" s="1"/>
      <c r="J3" s="450" t="s">
        <v>195</v>
      </c>
      <c r="K3" s="451"/>
    </row>
    <row r="4" spans="2:11" x14ac:dyDescent="0.2">
      <c r="B4" s="64"/>
      <c r="C4" s="141"/>
      <c r="F4" s="2"/>
      <c r="G4" s="3"/>
      <c r="J4" s="2"/>
      <c r="K4" s="3"/>
    </row>
    <row r="5" spans="2:11" x14ac:dyDescent="0.2">
      <c r="B5" s="2" t="s">
        <v>6</v>
      </c>
      <c r="C5" s="4">
        <v>12</v>
      </c>
      <c r="F5" s="2" t="s">
        <v>8</v>
      </c>
      <c r="G5" s="4">
        <v>4</v>
      </c>
      <c r="J5" s="2" t="s">
        <v>196</v>
      </c>
      <c r="K5" s="9">
        <v>5000</v>
      </c>
    </row>
    <row r="6" spans="2:11" ht="17" thickBot="1" x14ac:dyDescent="0.25">
      <c r="B6" s="2" t="s">
        <v>0</v>
      </c>
      <c r="C6" s="5">
        <v>32</v>
      </c>
      <c r="F6" s="2" t="s">
        <v>5</v>
      </c>
      <c r="G6" s="6">
        <f>C15</f>
        <v>0.76999999999999991</v>
      </c>
      <c r="J6" s="2" t="s">
        <v>197</v>
      </c>
      <c r="K6" s="6">
        <f>G8</f>
        <v>3.23</v>
      </c>
    </row>
    <row r="7" spans="2:11" ht="17" thickBot="1" x14ac:dyDescent="0.25">
      <c r="B7" s="2" t="s">
        <v>1</v>
      </c>
      <c r="C7" s="6">
        <f>ROUND(C5/C6,2)</f>
        <v>0.38</v>
      </c>
      <c r="F7" s="2"/>
      <c r="G7" s="6"/>
      <c r="J7" s="7" t="s">
        <v>198</v>
      </c>
      <c r="K7" s="249">
        <f>K5/K6</f>
        <v>1547.9876160990711</v>
      </c>
    </row>
    <row r="8" spans="2:11" ht="17" thickBot="1" x14ac:dyDescent="0.25">
      <c r="B8" s="2"/>
      <c r="C8" s="4"/>
      <c r="F8" s="7" t="s">
        <v>7</v>
      </c>
      <c r="G8" s="8">
        <f>G5-G6</f>
        <v>3.23</v>
      </c>
      <c r="J8" t="s">
        <v>98</v>
      </c>
      <c r="K8" s="250"/>
    </row>
    <row r="9" spans="2:11" x14ac:dyDescent="0.2">
      <c r="B9" s="2" t="s">
        <v>4</v>
      </c>
      <c r="C9" s="4">
        <v>0.06</v>
      </c>
      <c r="J9" s="251" t="s">
        <v>199</v>
      </c>
      <c r="K9" s="252">
        <v>26</v>
      </c>
    </row>
    <row r="10" spans="2:11" ht="17" thickBot="1" x14ac:dyDescent="0.25">
      <c r="B10" s="2"/>
      <c r="C10" s="5"/>
      <c r="J10" s="253" t="s">
        <v>200</v>
      </c>
      <c r="K10" s="254">
        <f>K7/K9</f>
        <v>59.537985234579658</v>
      </c>
    </row>
    <row r="11" spans="2:11" ht="17" thickBot="1" x14ac:dyDescent="0.25">
      <c r="B11" s="2" t="s">
        <v>2</v>
      </c>
      <c r="C11" s="4">
        <v>0.17</v>
      </c>
      <c r="J11" t="s">
        <v>113</v>
      </c>
      <c r="K11" s="163"/>
    </row>
    <row r="12" spans="2:11" x14ac:dyDescent="0.2">
      <c r="B12" s="2" t="s">
        <v>3</v>
      </c>
      <c r="C12" s="4">
        <v>0.06</v>
      </c>
      <c r="J12" s="251" t="s">
        <v>201</v>
      </c>
      <c r="K12" s="252">
        <v>8</v>
      </c>
    </row>
    <row r="13" spans="2:11" ht="17" thickBot="1" x14ac:dyDescent="0.25">
      <c r="B13" s="2" t="s">
        <v>10</v>
      </c>
      <c r="C13" s="4">
        <v>0.1</v>
      </c>
      <c r="J13" s="253" t="s">
        <v>202</v>
      </c>
      <c r="K13" s="255">
        <f>K10/K12</f>
        <v>7.4422481543224572</v>
      </c>
    </row>
    <row r="14" spans="2:11" ht="17" thickBot="1" x14ac:dyDescent="0.25">
      <c r="B14" s="2"/>
      <c r="C14" s="3"/>
      <c r="J14" s="1"/>
      <c r="K14" s="256"/>
    </row>
    <row r="15" spans="2:11" ht="17" thickBot="1" x14ac:dyDescent="0.25">
      <c r="B15" s="7" t="s">
        <v>5</v>
      </c>
      <c r="C15" s="8">
        <f>SUM(C7:C14)</f>
        <v>0.76999999999999991</v>
      </c>
      <c r="E15" s="452"/>
      <c r="F15" s="452"/>
      <c r="G15" s="452"/>
      <c r="H15" s="452"/>
      <c r="I15" s="452"/>
      <c r="J15" s="452"/>
    </row>
    <row r="16" spans="2:11" x14ac:dyDescent="0.2">
      <c r="E16" s="452"/>
      <c r="F16" s="452"/>
      <c r="G16" s="452"/>
      <c r="H16" s="452"/>
      <c r="I16" s="448"/>
      <c r="J16" s="452"/>
    </row>
    <row r="17" spans="2:10" ht="17" thickBot="1" x14ac:dyDescent="0.25">
      <c r="E17" s="452"/>
      <c r="F17" s="452" t="s">
        <v>227</v>
      </c>
      <c r="G17" s="452" t="s">
        <v>221</v>
      </c>
      <c r="H17" s="452" t="s">
        <v>228</v>
      </c>
      <c r="I17" s="448" t="s">
        <v>222</v>
      </c>
      <c r="J17" s="452"/>
    </row>
    <row r="18" spans="2:10" x14ac:dyDescent="0.2">
      <c r="B18" s="12" t="s">
        <v>11</v>
      </c>
      <c r="C18" s="369">
        <v>5000</v>
      </c>
      <c r="E18" s="452"/>
      <c r="F18" s="106">
        <v>3000000</v>
      </c>
      <c r="G18" s="106">
        <v>500000</v>
      </c>
      <c r="H18" s="106">
        <f>F18+G18</f>
        <v>3500000</v>
      </c>
      <c r="I18" s="449">
        <f>F18/H18</f>
        <v>0.8571428571428571</v>
      </c>
      <c r="J18" s="452"/>
    </row>
    <row r="19" spans="2:10" x14ac:dyDescent="0.2">
      <c r="B19" s="13" t="s">
        <v>9</v>
      </c>
      <c r="C19" s="370">
        <v>3500</v>
      </c>
      <c r="E19" s="452"/>
      <c r="F19" s="106">
        <v>3000000</v>
      </c>
      <c r="G19" s="106">
        <v>750000</v>
      </c>
      <c r="H19" s="106">
        <f>F19+G19</f>
        <v>3750000</v>
      </c>
      <c r="I19" s="449">
        <f>F19/H19</f>
        <v>0.8</v>
      </c>
      <c r="J19" s="452"/>
    </row>
    <row r="20" spans="2:10" x14ac:dyDescent="0.2">
      <c r="B20" s="13" t="s">
        <v>23</v>
      </c>
      <c r="C20" s="371">
        <v>12</v>
      </c>
      <c r="E20" s="452"/>
      <c r="F20" s="452"/>
      <c r="G20" s="452"/>
      <c r="H20" s="452"/>
      <c r="I20" s="448"/>
      <c r="J20" s="452"/>
    </row>
    <row r="21" spans="2:10" x14ac:dyDescent="0.2">
      <c r="B21" s="13" t="s">
        <v>20</v>
      </c>
      <c r="C21" s="370">
        <v>100</v>
      </c>
      <c r="E21" s="452"/>
      <c r="F21" s="106">
        <v>8000000</v>
      </c>
      <c r="G21" s="106">
        <v>1000000</v>
      </c>
      <c r="H21" s="106">
        <f>F21+G21</f>
        <v>9000000</v>
      </c>
      <c r="I21" s="449">
        <f>F21/H21</f>
        <v>0.88888888888888884</v>
      </c>
      <c r="J21" s="452"/>
    </row>
    <row r="22" spans="2:10" ht="17" thickBot="1" x14ac:dyDescent="0.25">
      <c r="B22" s="14" t="s">
        <v>12</v>
      </c>
      <c r="C22" s="372">
        <v>3.5000000000000003E-2</v>
      </c>
      <c r="E22" s="452"/>
      <c r="F22" s="106">
        <v>10000000</v>
      </c>
      <c r="G22" s="106">
        <v>1000000</v>
      </c>
      <c r="H22" s="106">
        <f>F22+G22</f>
        <v>11000000</v>
      </c>
      <c r="I22" s="449">
        <f>F22/H22</f>
        <v>0.90909090909090906</v>
      </c>
      <c r="J22" s="452"/>
    </row>
    <row r="23" spans="2:10" ht="17" thickBot="1" x14ac:dyDescent="0.25">
      <c r="B23" s="1"/>
      <c r="C23" s="337"/>
      <c r="E23" s="452"/>
      <c r="F23" s="106"/>
      <c r="G23" s="106"/>
      <c r="H23" s="106"/>
      <c r="I23" s="445"/>
      <c r="J23" s="368"/>
    </row>
    <row r="24" spans="2:10" x14ac:dyDescent="0.2">
      <c r="B24" s="64" t="s">
        <v>61</v>
      </c>
      <c r="C24" s="359">
        <v>35</v>
      </c>
      <c r="E24" s="452"/>
      <c r="F24" s="106"/>
      <c r="G24" s="106"/>
      <c r="H24" s="106"/>
      <c r="I24" s="452"/>
      <c r="J24" s="368"/>
    </row>
    <row r="25" spans="2:10" x14ac:dyDescent="0.2">
      <c r="B25" s="2" t="s">
        <v>90</v>
      </c>
      <c r="C25" s="394">
        <v>0.3</v>
      </c>
      <c r="F25" s="106"/>
      <c r="G25" s="106"/>
      <c r="H25" s="106"/>
      <c r="J25" s="368"/>
    </row>
    <row r="26" spans="2:10" x14ac:dyDescent="0.2">
      <c r="B26" s="2" t="s">
        <v>88</v>
      </c>
      <c r="C26" s="258">
        <v>2.5000000000000001E-2</v>
      </c>
      <c r="F26" s="106"/>
      <c r="G26" s="106"/>
      <c r="H26" s="106"/>
      <c r="J26" s="368"/>
    </row>
    <row r="27" spans="2:10" x14ac:dyDescent="0.2">
      <c r="B27" s="2"/>
      <c r="C27" s="258"/>
      <c r="F27" s="106"/>
      <c r="G27" s="106"/>
      <c r="H27" s="106"/>
      <c r="J27" s="368"/>
    </row>
    <row r="28" spans="2:10" x14ac:dyDescent="0.2">
      <c r="B28" s="2" t="s">
        <v>93</v>
      </c>
      <c r="C28" s="260">
        <v>27.5</v>
      </c>
    </row>
    <row r="29" spans="2:10" x14ac:dyDescent="0.2">
      <c r="B29" s="2" t="s">
        <v>94</v>
      </c>
      <c r="C29" s="258">
        <v>0.35</v>
      </c>
    </row>
    <row r="30" spans="2:10" x14ac:dyDescent="0.2">
      <c r="B30" s="2"/>
      <c r="C30" s="3"/>
    </row>
    <row r="31" spans="2:10" ht="17" thickBot="1" x14ac:dyDescent="0.25">
      <c r="B31" s="90" t="s">
        <v>91</v>
      </c>
      <c r="C31" s="360">
        <v>3.5</v>
      </c>
    </row>
    <row r="32" spans="2:10" ht="17" thickBot="1" x14ac:dyDescent="0.25">
      <c r="C32" s="364"/>
    </row>
    <row r="33" spans="2:6" x14ac:dyDescent="0.2">
      <c r="B33" s="64" t="s">
        <v>210</v>
      </c>
      <c r="C33" s="359">
        <v>1.5</v>
      </c>
    </row>
    <row r="34" spans="2:6" ht="17" thickBot="1" x14ac:dyDescent="0.25">
      <c r="B34" s="90" t="s">
        <v>211</v>
      </c>
      <c r="C34" s="367">
        <v>3.2</v>
      </c>
    </row>
    <row r="35" spans="2:6" ht="17" thickBot="1" x14ac:dyDescent="0.25">
      <c r="C35" s="364"/>
    </row>
    <row r="36" spans="2:6" x14ac:dyDescent="0.2">
      <c r="B36" s="64" t="s">
        <v>72</v>
      </c>
      <c r="C36" s="257">
        <v>20000</v>
      </c>
    </row>
    <row r="37" spans="2:6" x14ac:dyDescent="0.2">
      <c r="B37" s="2" t="s">
        <v>73</v>
      </c>
      <c r="C37" s="9">
        <f>MonthlyGoogleSpend</f>
        <v>20000</v>
      </c>
    </row>
    <row r="38" spans="2:6" x14ac:dyDescent="0.2">
      <c r="B38" s="2" t="s">
        <v>74</v>
      </c>
      <c r="C38" s="9">
        <f>0.5*MonthlyGoogleSpend</f>
        <v>10000</v>
      </c>
    </row>
    <row r="39" spans="2:6" x14ac:dyDescent="0.2">
      <c r="B39" s="2"/>
      <c r="C39" s="9"/>
    </row>
    <row r="40" spans="2:6" x14ac:dyDescent="0.2">
      <c r="B40" s="2" t="s">
        <v>83</v>
      </c>
      <c r="C40" s="4">
        <v>2.75</v>
      </c>
    </row>
    <row r="41" spans="2:6" x14ac:dyDescent="0.2">
      <c r="B41" s="2" t="s">
        <v>84</v>
      </c>
      <c r="C41" s="4">
        <v>2.5</v>
      </c>
      <c r="F41" s="29"/>
    </row>
    <row r="42" spans="2:6" x14ac:dyDescent="0.2">
      <c r="B42" s="2" t="s">
        <v>85</v>
      </c>
      <c r="C42" s="4">
        <v>2</v>
      </c>
    </row>
    <row r="43" spans="2:6" x14ac:dyDescent="0.2">
      <c r="B43" s="2"/>
      <c r="C43" s="3"/>
    </row>
    <row r="44" spans="2:6" x14ac:dyDescent="0.2">
      <c r="B44" s="2" t="s">
        <v>75</v>
      </c>
      <c r="C44" s="258">
        <v>1.2E-2</v>
      </c>
    </row>
    <row r="45" spans="2:6" x14ac:dyDescent="0.2">
      <c r="B45" s="2" t="s">
        <v>76</v>
      </c>
      <c r="C45" s="258">
        <v>1.2999999999999999E-2</v>
      </c>
    </row>
    <row r="46" spans="2:6" x14ac:dyDescent="0.2">
      <c r="B46" s="2" t="s">
        <v>77</v>
      </c>
      <c r="C46" s="258">
        <v>7.1999999999999998E-3</v>
      </c>
    </row>
    <row r="47" spans="2:6" x14ac:dyDescent="0.2">
      <c r="B47" s="2" t="s">
        <v>78</v>
      </c>
      <c r="C47" s="258">
        <v>8.9999999999999993E-3</v>
      </c>
    </row>
    <row r="48" spans="2:6" x14ac:dyDescent="0.2">
      <c r="B48" s="2"/>
      <c r="C48" s="258"/>
    </row>
    <row r="49" spans="2:3" x14ac:dyDescent="0.2">
      <c r="B49" s="2" t="s">
        <v>79</v>
      </c>
      <c r="C49" s="258">
        <v>1.7500000000000002E-2</v>
      </c>
    </row>
    <row r="50" spans="2:3" x14ac:dyDescent="0.2">
      <c r="B50" s="2" t="s">
        <v>80</v>
      </c>
      <c r="C50" s="258">
        <v>1.4500000000000001E-2</v>
      </c>
    </row>
    <row r="51" spans="2:3" x14ac:dyDescent="0.2">
      <c r="B51" s="2" t="s">
        <v>81</v>
      </c>
      <c r="C51" s="258">
        <v>5.0000000000000001E-3</v>
      </c>
    </row>
    <row r="52" spans="2:3" x14ac:dyDescent="0.2">
      <c r="B52" s="2" t="s">
        <v>82</v>
      </c>
      <c r="C52" s="258">
        <v>1.4999999999999999E-2</v>
      </c>
    </row>
    <row r="53" spans="2:3" x14ac:dyDescent="0.2">
      <c r="B53" s="2"/>
      <c r="C53" s="3"/>
    </row>
    <row r="54" spans="2:3" ht="17" thickBot="1" x14ac:dyDescent="0.25">
      <c r="B54" s="90" t="s">
        <v>87</v>
      </c>
      <c r="C54" s="259">
        <v>0.08</v>
      </c>
    </row>
    <row r="55" spans="2:3" ht="17" thickBot="1" x14ac:dyDescent="0.25">
      <c r="C55" s="25"/>
    </row>
    <row r="56" spans="2:3" x14ac:dyDescent="0.2">
      <c r="B56" s="64" t="s">
        <v>99</v>
      </c>
      <c r="C56" s="261">
        <v>7000</v>
      </c>
    </row>
    <row r="57" spans="2:3" x14ac:dyDescent="0.2">
      <c r="B57" s="2"/>
      <c r="C57" s="3"/>
    </row>
    <row r="58" spans="2:3" x14ac:dyDescent="0.2">
      <c r="B58" s="2" t="s">
        <v>107</v>
      </c>
      <c r="C58" s="258">
        <v>0.2</v>
      </c>
    </row>
    <row r="59" spans="2:3" x14ac:dyDescent="0.2">
      <c r="B59" s="2"/>
      <c r="C59" s="3"/>
    </row>
    <row r="60" spans="2:3" x14ac:dyDescent="0.2">
      <c r="B60" s="2" t="s">
        <v>109</v>
      </c>
      <c r="C60" s="361">
        <v>100</v>
      </c>
    </row>
    <row r="61" spans="2:3" x14ac:dyDescent="0.2">
      <c r="B61" s="2"/>
      <c r="C61" s="89"/>
    </row>
    <row r="62" spans="2:3" x14ac:dyDescent="0.2">
      <c r="B62" s="2" t="s">
        <v>110</v>
      </c>
      <c r="C62" s="361">
        <v>1000</v>
      </c>
    </row>
    <row r="63" spans="2:3" x14ac:dyDescent="0.2">
      <c r="B63" s="2"/>
      <c r="C63" s="89"/>
    </row>
    <row r="64" spans="2:3" ht="17" thickBot="1" x14ac:dyDescent="0.25">
      <c r="B64" s="90" t="s">
        <v>111</v>
      </c>
      <c r="C64" s="362">
        <v>500</v>
      </c>
    </row>
    <row r="65" spans="2:3" ht="17" thickBot="1" x14ac:dyDescent="0.25"/>
    <row r="66" spans="2:3" x14ac:dyDescent="0.2">
      <c r="B66" s="64" t="s">
        <v>115</v>
      </c>
      <c r="C66" s="363">
        <v>85000</v>
      </c>
    </row>
    <row r="67" spans="2:3" x14ac:dyDescent="0.2">
      <c r="B67" s="2" t="s">
        <v>155</v>
      </c>
      <c r="C67" s="361">
        <v>250000</v>
      </c>
    </row>
    <row r="68" spans="2:3" x14ac:dyDescent="0.2">
      <c r="B68" s="2"/>
      <c r="C68" s="3"/>
    </row>
    <row r="69" spans="2:3" x14ac:dyDescent="0.2">
      <c r="B69" s="2" t="s">
        <v>121</v>
      </c>
      <c r="C69" s="5">
        <v>0</v>
      </c>
    </row>
    <row r="70" spans="2:3" x14ac:dyDescent="0.2">
      <c r="B70" s="2" t="s">
        <v>122</v>
      </c>
      <c r="C70" s="5">
        <v>30</v>
      </c>
    </row>
    <row r="71" spans="2:3" x14ac:dyDescent="0.2">
      <c r="B71" s="2"/>
      <c r="C71" s="3"/>
    </row>
    <row r="72" spans="2:3" x14ac:dyDescent="0.2">
      <c r="B72" s="2" t="s">
        <v>146</v>
      </c>
      <c r="C72" s="5">
        <v>15</v>
      </c>
    </row>
    <row r="73" spans="2:3" x14ac:dyDescent="0.2">
      <c r="B73" s="2"/>
      <c r="C73" s="3"/>
    </row>
    <row r="74" spans="2:3" x14ac:dyDescent="0.2">
      <c r="B74" s="2" t="s">
        <v>148</v>
      </c>
      <c r="C74" s="361">
        <v>500000</v>
      </c>
    </row>
    <row r="75" spans="2:3" x14ac:dyDescent="0.2">
      <c r="B75" s="2"/>
      <c r="C75" s="262"/>
    </row>
    <row r="76" spans="2:3" x14ac:dyDescent="0.2">
      <c r="B76" s="2" t="s">
        <v>149</v>
      </c>
      <c r="C76" s="361">
        <v>3000000</v>
      </c>
    </row>
    <row r="77" spans="2:3" x14ac:dyDescent="0.2">
      <c r="B77" s="2"/>
      <c r="C77" s="3"/>
    </row>
    <row r="78" spans="2:3" x14ac:dyDescent="0.2">
      <c r="B78" s="2" t="s">
        <v>154</v>
      </c>
      <c r="C78" s="361">
        <v>1000000</v>
      </c>
    </row>
    <row r="79" spans="2:3" x14ac:dyDescent="0.2">
      <c r="B79" s="2"/>
      <c r="C79" s="3"/>
    </row>
    <row r="80" spans="2:3" x14ac:dyDescent="0.2">
      <c r="B80" s="2" t="s">
        <v>150</v>
      </c>
      <c r="C80" s="258">
        <v>0.04</v>
      </c>
    </row>
    <row r="81" spans="2:3" x14ac:dyDescent="0.2">
      <c r="B81" s="2"/>
      <c r="C81" s="3"/>
    </row>
    <row r="82" spans="2:3" ht="17" thickBot="1" x14ac:dyDescent="0.25">
      <c r="B82" s="90" t="s">
        <v>153</v>
      </c>
      <c r="C82" s="263">
        <v>5</v>
      </c>
    </row>
  </sheetData>
  <mergeCells count="3">
    <mergeCell ref="B3:C3"/>
    <mergeCell ref="F3:G3"/>
    <mergeCell ref="J3:K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5249-9151-D541-AFB5-80DC52414E9F}">
  <dimension ref="B2:BJ35"/>
  <sheetViews>
    <sheetView zoomScale="180" zoomScaleNormal="180" workbookViewId="0">
      <pane xSplit="2" ySplit="4" topLeftCell="C5" activePane="bottomRight" state="frozen"/>
      <selection activeCell="G10" sqref="G10"/>
      <selection pane="topRight" activeCell="G10" sqref="G10"/>
      <selection pane="bottomLeft" activeCell="G10" sqref="G10"/>
      <selection pane="bottomRight" activeCell="BJ29" sqref="BJ29"/>
    </sheetView>
    <sheetView workbookViewId="1"/>
  </sheetViews>
  <sheetFormatPr baseColWidth="10" defaultRowHeight="16" x14ac:dyDescent="0.2"/>
  <cols>
    <col min="1" max="1" width="6.6640625" customWidth="1"/>
    <col min="2" max="2" width="27.5" bestFit="1" customWidth="1"/>
    <col min="3" max="14" width="13.83203125" customWidth="1"/>
    <col min="15" max="15" width="11.6640625" bestFit="1" customWidth="1"/>
    <col min="16" max="62" width="13.1640625" customWidth="1"/>
  </cols>
  <sheetData>
    <row r="2" spans="2:62" ht="20" customHeight="1" x14ac:dyDescent="0.25">
      <c r="B2" s="35" t="s">
        <v>214</v>
      </c>
    </row>
    <row r="3" spans="2:62" ht="17" thickBot="1" x14ac:dyDescent="0.25"/>
    <row r="4" spans="2:62" ht="17" thickBot="1" x14ac:dyDescent="0.25">
      <c r="B4" s="75"/>
      <c r="C4" s="264">
        <f>'Kiosk P&amp;L'!D4</f>
        <v>45292</v>
      </c>
      <c r="D4" s="265">
        <f>'Kiosk P&amp;L'!E4</f>
        <v>45323</v>
      </c>
      <c r="E4" s="265">
        <f>'Kiosk P&amp;L'!F4</f>
        <v>45352</v>
      </c>
      <c r="F4" s="265">
        <f>'Kiosk P&amp;L'!G4</f>
        <v>45383</v>
      </c>
      <c r="G4" s="60">
        <f>'Kiosk P&amp;L'!H4</f>
        <v>45413</v>
      </c>
      <c r="H4" s="60">
        <f>'Kiosk P&amp;L'!I4</f>
        <v>45444</v>
      </c>
      <c r="I4" s="60">
        <f>'Kiosk P&amp;L'!J4</f>
        <v>45474</v>
      </c>
      <c r="J4" s="60">
        <f>'Kiosk P&amp;L'!K4</f>
        <v>45505</v>
      </c>
      <c r="K4" s="60">
        <f>'Kiosk P&amp;L'!L4</f>
        <v>45536</v>
      </c>
      <c r="L4" s="60">
        <f>'Kiosk P&amp;L'!M4</f>
        <v>45566</v>
      </c>
      <c r="M4" s="60">
        <f>'Kiosk P&amp;L'!N4</f>
        <v>45597</v>
      </c>
      <c r="N4" s="61">
        <f>'Kiosk P&amp;L'!O4</f>
        <v>45627</v>
      </c>
      <c r="O4" s="60">
        <f>'Kiosk P&amp;L'!P4</f>
        <v>45658</v>
      </c>
      <c r="P4" s="60">
        <f>'Kiosk P&amp;L'!Q4</f>
        <v>45689</v>
      </c>
      <c r="Q4" s="60">
        <f>'Kiosk P&amp;L'!R4</f>
        <v>45717</v>
      </c>
      <c r="R4" s="60">
        <f>'Kiosk P&amp;L'!S4</f>
        <v>45748</v>
      </c>
      <c r="S4" s="60">
        <f>'Kiosk P&amp;L'!T4</f>
        <v>45778</v>
      </c>
      <c r="T4" s="60">
        <f>'Kiosk P&amp;L'!U4</f>
        <v>45809</v>
      </c>
      <c r="U4" s="60">
        <f>'Kiosk P&amp;L'!V4</f>
        <v>45839</v>
      </c>
      <c r="V4" s="60">
        <f>'Kiosk P&amp;L'!W4</f>
        <v>45870</v>
      </c>
      <c r="W4" s="60">
        <f>'Kiosk P&amp;L'!X4</f>
        <v>45901</v>
      </c>
      <c r="X4" s="60">
        <f>'Kiosk P&amp;L'!Y4</f>
        <v>45931</v>
      </c>
      <c r="Y4" s="60">
        <f>'Kiosk P&amp;L'!Z4</f>
        <v>45962</v>
      </c>
      <c r="Z4" s="60">
        <f>'Kiosk P&amp;L'!AA4</f>
        <v>45992</v>
      </c>
      <c r="AA4" s="78">
        <f>'Kiosk P&amp;L'!AB4</f>
        <v>46023</v>
      </c>
      <c r="AB4" s="60">
        <f>'Kiosk P&amp;L'!AC4</f>
        <v>46054</v>
      </c>
      <c r="AC4" s="60">
        <f>'Kiosk P&amp;L'!AD4</f>
        <v>46082</v>
      </c>
      <c r="AD4" s="60">
        <f>'Kiosk P&amp;L'!AE4</f>
        <v>46113</v>
      </c>
      <c r="AE4" s="60">
        <f>'Kiosk P&amp;L'!AF4</f>
        <v>46143</v>
      </c>
      <c r="AF4" s="60">
        <f>'Kiosk P&amp;L'!AG4</f>
        <v>46174</v>
      </c>
      <c r="AG4" s="60">
        <f>'Kiosk P&amp;L'!AH4</f>
        <v>46204</v>
      </c>
      <c r="AH4" s="60">
        <f>'Kiosk P&amp;L'!AI4</f>
        <v>46235</v>
      </c>
      <c r="AI4" s="60">
        <f>'Kiosk P&amp;L'!AJ4</f>
        <v>46266</v>
      </c>
      <c r="AJ4" s="60">
        <f>'Kiosk P&amp;L'!AK4</f>
        <v>46296</v>
      </c>
      <c r="AK4" s="60">
        <f>'Kiosk P&amp;L'!AL4</f>
        <v>46327</v>
      </c>
      <c r="AL4" s="61">
        <f>'Kiosk P&amp;L'!AM4</f>
        <v>46357</v>
      </c>
      <c r="AM4" s="60">
        <f>'Kiosk P&amp;L'!AN4</f>
        <v>46388</v>
      </c>
      <c r="AN4" s="60">
        <f>'Kiosk P&amp;L'!AO4</f>
        <v>46419</v>
      </c>
      <c r="AO4" s="60">
        <f>'Kiosk P&amp;L'!AP4</f>
        <v>46447</v>
      </c>
      <c r="AP4" s="60">
        <f>'Kiosk P&amp;L'!AQ4</f>
        <v>46478</v>
      </c>
      <c r="AQ4" s="60">
        <f>'Kiosk P&amp;L'!AR4</f>
        <v>46508</v>
      </c>
      <c r="AR4" s="60">
        <f>'Kiosk P&amp;L'!AS4</f>
        <v>46539</v>
      </c>
      <c r="AS4" s="60">
        <f>'Kiosk P&amp;L'!AT4</f>
        <v>46569</v>
      </c>
      <c r="AT4" s="60">
        <f>'Kiosk P&amp;L'!AU4</f>
        <v>46600</v>
      </c>
      <c r="AU4" s="60">
        <f>'Kiosk P&amp;L'!AV4</f>
        <v>46631</v>
      </c>
      <c r="AV4" s="60">
        <f>'Kiosk P&amp;L'!AW4</f>
        <v>46661</v>
      </c>
      <c r="AW4" s="60">
        <f>'Kiosk P&amp;L'!AX4</f>
        <v>46692</v>
      </c>
      <c r="AX4" s="60">
        <f>'Kiosk P&amp;L'!AY4</f>
        <v>46722</v>
      </c>
      <c r="AY4" s="78">
        <f>'Kiosk P&amp;L'!AZ4</f>
        <v>46753</v>
      </c>
      <c r="AZ4" s="60">
        <f>'Kiosk P&amp;L'!BA4</f>
        <v>46784</v>
      </c>
      <c r="BA4" s="60">
        <f>'Kiosk P&amp;L'!BB4</f>
        <v>46813</v>
      </c>
      <c r="BB4" s="60">
        <f>'Kiosk P&amp;L'!BC4</f>
        <v>46844</v>
      </c>
      <c r="BC4" s="60">
        <f>'Kiosk P&amp;L'!BD4</f>
        <v>46874</v>
      </c>
      <c r="BD4" s="60">
        <f>'Kiosk P&amp;L'!BE4</f>
        <v>46905</v>
      </c>
      <c r="BE4" s="60">
        <f>'Kiosk P&amp;L'!BF4</f>
        <v>46935</v>
      </c>
      <c r="BF4" s="60">
        <f>'Kiosk P&amp;L'!BG4</f>
        <v>46966</v>
      </c>
      <c r="BG4" s="60">
        <f>'Kiosk P&amp;L'!BH4</f>
        <v>46997</v>
      </c>
      <c r="BH4" s="60">
        <f>'Kiosk P&amp;L'!BI4</f>
        <v>47027</v>
      </c>
      <c r="BI4" s="60">
        <f>'Kiosk P&amp;L'!BJ4</f>
        <v>47058</v>
      </c>
      <c r="BJ4" s="61">
        <f>'Kiosk P&amp;L'!BK4</f>
        <v>47088</v>
      </c>
    </row>
    <row r="5" spans="2:62" s="1" customFormat="1" x14ac:dyDescent="0.2">
      <c r="B5" s="45" t="s">
        <v>114</v>
      </c>
      <c r="C5" s="272">
        <f>OpeningCashBalance</f>
        <v>85000</v>
      </c>
      <c r="D5" s="273">
        <f>C29</f>
        <v>33133.833333333336</v>
      </c>
      <c r="E5" s="273">
        <f t="shared" ref="E5:BJ5" si="0">D29</f>
        <v>9671.279444444448</v>
      </c>
      <c r="F5" s="273">
        <f t="shared" si="0"/>
        <v>493755.51704259263</v>
      </c>
      <c r="G5" s="46">
        <f t="shared" si="0"/>
        <v>493640.79533696227</v>
      </c>
      <c r="H5" s="46">
        <f t="shared" si="0"/>
        <v>474422.76733179524</v>
      </c>
      <c r="I5" s="46">
        <f t="shared" si="0"/>
        <v>437422.13205259631</v>
      </c>
      <c r="J5" s="46">
        <f t="shared" si="0"/>
        <v>393131.71868331794</v>
      </c>
      <c r="K5" s="46">
        <f t="shared" si="0"/>
        <v>352924.01255252794</v>
      </c>
      <c r="L5" s="46">
        <f t="shared" si="0"/>
        <v>316826.68004033214</v>
      </c>
      <c r="M5" s="46">
        <f t="shared" si="0"/>
        <v>284748.75433658157</v>
      </c>
      <c r="N5" s="74">
        <f t="shared" si="0"/>
        <v>255948.99196398331</v>
      </c>
      <c r="O5" s="46">
        <f t="shared" si="0"/>
        <v>230973.70731365436</v>
      </c>
      <c r="P5" s="46">
        <f t="shared" si="0"/>
        <v>195741.0667990832</v>
      </c>
      <c r="Q5" s="46">
        <f t="shared" si="0"/>
        <v>163571.83084082304</v>
      </c>
      <c r="R5" s="46">
        <f t="shared" si="0"/>
        <v>134304.19852270372</v>
      </c>
      <c r="S5" s="46">
        <f t="shared" si="0"/>
        <v>108513.11861099256</v>
      </c>
      <c r="T5" s="46">
        <f t="shared" si="0"/>
        <v>86136.74850817502</v>
      </c>
      <c r="U5" s="46">
        <f t="shared" si="0"/>
        <v>67103.084986301954</v>
      </c>
      <c r="V5" s="46">
        <f t="shared" si="0"/>
        <v>1028689.9339591461</v>
      </c>
      <c r="W5" s="46">
        <f t="shared" si="0"/>
        <v>996522.74711154005</v>
      </c>
      <c r="X5" s="46">
        <f t="shared" si="0"/>
        <v>967445.5349653865</v>
      </c>
      <c r="Y5" s="46">
        <f t="shared" si="0"/>
        <v>941376.68332896603</v>
      </c>
      <c r="Z5" s="46">
        <f t="shared" si="0"/>
        <v>917622.87283466209</v>
      </c>
      <c r="AA5" s="136">
        <f t="shared" si="0"/>
        <v>896769.79527142062</v>
      </c>
      <c r="AB5" s="137">
        <f t="shared" si="0"/>
        <v>837103.70299232798</v>
      </c>
      <c r="AC5" s="137">
        <f t="shared" si="0"/>
        <v>784542.86659078626</v>
      </c>
      <c r="AD5" s="137">
        <f t="shared" si="0"/>
        <v>734611.15810771217</v>
      </c>
      <c r="AE5" s="137">
        <f t="shared" si="0"/>
        <v>686605.66775935155</v>
      </c>
      <c r="AF5" s="137">
        <f t="shared" si="0"/>
        <v>641111.24884585943</v>
      </c>
      <c r="AG5" s="137">
        <f t="shared" si="0"/>
        <v>598114.56878423446</v>
      </c>
      <c r="AH5" s="137">
        <f t="shared" si="0"/>
        <v>557583.62432384235</v>
      </c>
      <c r="AI5" s="137">
        <f t="shared" si="0"/>
        <v>519486.43921280239</v>
      </c>
      <c r="AJ5" s="137">
        <f t="shared" si="0"/>
        <v>483731.57498208334</v>
      </c>
      <c r="AK5" s="137">
        <f t="shared" si="0"/>
        <v>449684.19428774161</v>
      </c>
      <c r="AL5" s="138">
        <f t="shared" si="0"/>
        <v>417941.51205493679</v>
      </c>
      <c r="AM5" s="46">
        <f t="shared" si="0"/>
        <v>388481.66579031543</v>
      </c>
      <c r="AN5" s="46">
        <f t="shared" si="0"/>
        <v>361302.6665398216</v>
      </c>
      <c r="AO5" s="46">
        <f t="shared" si="0"/>
        <v>336364.23084696976</v>
      </c>
      <c r="AP5" s="46">
        <f t="shared" si="0"/>
        <v>313634.920074697</v>
      </c>
      <c r="AQ5" s="46">
        <f t="shared" si="0"/>
        <v>292492.93821590283</v>
      </c>
      <c r="AR5" s="46">
        <f t="shared" si="0"/>
        <v>273527.68382958323</v>
      </c>
      <c r="AS5" s="46">
        <f t="shared" si="0"/>
        <v>256748.05873360668</v>
      </c>
      <c r="AT5" s="46">
        <f t="shared" si="0"/>
        <v>242174.30610333817</v>
      </c>
      <c r="AU5" s="46">
        <f t="shared" si="0"/>
        <v>229788.57321094553</v>
      </c>
      <c r="AV5" s="46">
        <f t="shared" si="0"/>
        <v>219582.06136861991</v>
      </c>
      <c r="AW5" s="46">
        <f t="shared" si="0"/>
        <v>211576.08519263816</v>
      </c>
      <c r="AX5" s="46">
        <f t="shared" si="0"/>
        <v>205133.70439168694</v>
      </c>
      <c r="AY5" s="136">
        <f t="shared" si="0"/>
        <v>200906.31350733232</v>
      </c>
      <c r="AZ5" s="137">
        <f t="shared" si="0"/>
        <v>198917.97300083764</v>
      </c>
      <c r="BA5" s="137">
        <f t="shared" si="0"/>
        <v>199242.85770792706</v>
      </c>
      <c r="BB5" s="137">
        <f t="shared" si="0"/>
        <v>201878.96662053434</v>
      </c>
      <c r="BC5" s="137">
        <f t="shared" si="0"/>
        <v>206872.16511986402</v>
      </c>
      <c r="BD5" s="137">
        <f t="shared" si="0"/>
        <v>213640.14437576628</v>
      </c>
      <c r="BE5" s="137">
        <f t="shared" si="0"/>
        <v>222850.88126502241</v>
      </c>
      <c r="BF5" s="137">
        <f t="shared" si="0"/>
        <v>234554.11412927689</v>
      </c>
      <c r="BG5" s="137">
        <f t="shared" si="0"/>
        <v>248850.09476994266</v>
      </c>
      <c r="BH5" s="137">
        <f t="shared" si="0"/>
        <v>265822.82463962334</v>
      </c>
      <c r="BI5" s="137">
        <f t="shared" si="0"/>
        <v>285557.573912566</v>
      </c>
      <c r="BJ5" s="138">
        <f t="shared" si="0"/>
        <v>307490.96481107728</v>
      </c>
    </row>
    <row r="6" spans="2:62" s="15" customFormat="1" x14ac:dyDescent="0.2">
      <c r="B6" s="2"/>
      <c r="C6" s="268"/>
      <c r="D6" s="321"/>
      <c r="E6" s="321"/>
      <c r="F6" s="321"/>
      <c r="N6" s="97"/>
      <c r="AA6" s="104"/>
      <c r="AL6" s="97"/>
      <c r="AY6" s="104"/>
      <c r="BJ6" s="97"/>
    </row>
    <row r="7" spans="2:62" s="15" customFormat="1" x14ac:dyDescent="0.2">
      <c r="B7" s="2" t="s">
        <v>119</v>
      </c>
      <c r="C7" s="268"/>
      <c r="D7" s="321"/>
      <c r="E7" s="321"/>
      <c r="F7" s="321"/>
      <c r="N7" s="97"/>
      <c r="AA7" s="104"/>
      <c r="AL7" s="97"/>
      <c r="AY7" s="104"/>
      <c r="BJ7" s="97"/>
    </row>
    <row r="8" spans="2:62" s="15" customFormat="1" x14ac:dyDescent="0.2">
      <c r="B8" s="98" t="s">
        <v>116</v>
      </c>
      <c r="C8" s="268">
        <f>'Income Statement - Monthly'!D10</f>
        <v>23467.5</v>
      </c>
      <c r="D8" s="269">
        <f>'Income Statement - Monthly'!E10</f>
        <v>24457.5</v>
      </c>
      <c r="E8" s="269">
        <f>'Income Statement - Monthly'!F10</f>
        <v>38122</v>
      </c>
      <c r="F8" s="269">
        <f>'Income Statement - Monthly'!G10</f>
        <v>53067.265570894335</v>
      </c>
      <c r="G8" s="48">
        <f>'Income Statement - Monthly'!H10</f>
        <v>66133.562885364416</v>
      </c>
      <c r="H8" s="48">
        <f>'Income Statement - Monthly'!I10</f>
        <v>73803.502382004415</v>
      </c>
      <c r="I8" s="48">
        <f>'Income Statement - Monthly'!J10</f>
        <v>81333.837038375612</v>
      </c>
      <c r="J8" s="48">
        <f>'Income Statement - Monthly'!K10</f>
        <v>88654.59846725651</v>
      </c>
      <c r="K8" s="48">
        <f>'Income Statement - Monthly'!L10</f>
        <v>95800.820810447884</v>
      </c>
      <c r="L8" s="48">
        <f>'Income Statement - Monthly'!M10</f>
        <v>102772.54094109456</v>
      </c>
      <c r="M8" s="48">
        <f>'Income Statement - Monthly'!N10</f>
        <v>109569.79868219297</v>
      </c>
      <c r="N8" s="66">
        <f>'Income Statement - Monthly'!O10</f>
        <v>116192.63704257926</v>
      </c>
      <c r="O8" s="48">
        <f>'Income Statement - Monthly'!P10</f>
        <v>122641.10247179643</v>
      </c>
      <c r="P8" s="48">
        <f>'Income Statement - Monthly'!Q10</f>
        <v>128985.245135351</v>
      </c>
      <c r="Q8" s="48">
        <f>'Income Statement - Monthly'!R10</f>
        <v>135155.11921198992</v>
      </c>
      <c r="R8" s="48">
        <f>'Income Statement - Monthly'!S10</f>
        <v>141185.78321475998</v>
      </c>
      <c r="S8" s="48">
        <f>'Income Statement - Monthly'!T10</f>
        <v>147077.30033775163</v>
      </c>
      <c r="T8" s="48">
        <f>'Income Statement - Monthly'!U10</f>
        <v>152829.73883058259</v>
      </c>
      <c r="U8" s="48">
        <f>'Income Statement - Monthly'!V10</f>
        <v>158443.17240284002</v>
      </c>
      <c r="V8" s="48">
        <f>'Income Statement - Monthly'!W10</f>
        <v>163917.6806608781</v>
      </c>
      <c r="W8" s="48">
        <f>'Income Statement - Monthly'!X10</f>
        <v>169288.3495795592</v>
      </c>
      <c r="X8" s="48">
        <f>'Income Statement - Monthly'!Y10</f>
        <v>174520.27201173478</v>
      </c>
      <c r="Y8" s="48">
        <f>'Income Statement - Monthly'!Z10</f>
        <v>179648.54823848442</v>
      </c>
      <c r="Z8" s="48">
        <f>'Income Statement - Monthly'!AA10</f>
        <v>184673.28656337401</v>
      </c>
      <c r="AA8" s="79">
        <f>'Income Statement - Monthly'!AB10</f>
        <v>143485.09386779944</v>
      </c>
      <c r="AB8" s="48">
        <f>'Income Statement - Monthly'!AC10</f>
        <v>148303.11664995068</v>
      </c>
      <c r="AC8" s="48">
        <f>'Income Statement - Monthly'!AD10</f>
        <v>153017.981254674</v>
      </c>
      <c r="AD8" s="48">
        <f>'Income Statement - Monthly'!AE10</f>
        <v>157629.8350277752</v>
      </c>
      <c r="AE8" s="48">
        <f>'Income Statement - Monthly'!AF10</f>
        <v>162138.83710272447</v>
      </c>
      <c r="AF8" s="48">
        <f>'Income Statement - Monthly'!AG10</f>
        <v>166580.15934366971</v>
      </c>
      <c r="AG8" s="48">
        <f>'Income Statement - Monthly'!AH10</f>
        <v>170953.98736389054</v>
      </c>
      <c r="AH8" s="48">
        <f>'Income Statement - Monthly'!AI10</f>
        <v>175260.52162572904</v>
      </c>
      <c r="AI8" s="48">
        <f>'Income Statement - Monthly'!AJ10</f>
        <v>179429.97862851465</v>
      </c>
      <c r="AJ8" s="48">
        <f>'Income Statement - Monthly'!AK10</f>
        <v>183567.59219152312</v>
      </c>
      <c r="AK8" s="48">
        <f>'Income Statement - Monthly'!AL10</f>
        <v>187638.61483957223</v>
      </c>
      <c r="AL8" s="66">
        <f>'Income Statement - Monthly'!AM10</f>
        <v>191643.31929946528</v>
      </c>
      <c r="AM8" s="48">
        <f>'Income Statement - Monthly'!AN10</f>
        <v>195617.00011614978</v>
      </c>
      <c r="AN8" s="48">
        <f>'Income Statement - Monthly'!AO10</f>
        <v>199524.97539816902</v>
      </c>
      <c r="AO8" s="48">
        <f>'Income Statement - Monthly'!AP10</f>
        <v>203367.58870274984</v>
      </c>
      <c r="AP8" s="48">
        <f>'Income Statement - Monthly'!AQ10</f>
        <v>207215.21107169709</v>
      </c>
      <c r="AQ8" s="48">
        <f>'Income Statement - Monthly'!AR10</f>
        <v>210998.24323016012</v>
      </c>
      <c r="AR8" s="48">
        <f>'Income Statement - Monthly'!AS10</f>
        <v>214752.11796130022</v>
      </c>
      <c r="AS8" s="48">
        <f>'Income Statement - Monthly'!AT10</f>
        <v>218512.3026709315</v>
      </c>
      <c r="AT8" s="48">
        <f>'Income Statement - Monthly'!AU10</f>
        <v>222244.3021573333</v>
      </c>
      <c r="AU8" s="48">
        <f>'Income Statement - Monthly'!AV10</f>
        <v>225948.66160264722</v>
      </c>
      <c r="AV8" s="48">
        <f>'Income Statement - Monthly'!AW10</f>
        <v>229660.96980358628</v>
      </c>
      <c r="AW8" s="48">
        <f>'Income Statement - Monthly'!AX10</f>
        <v>233381.86266060045</v>
      </c>
      <c r="AX8" s="48">
        <f>'Income Statement - Monthly'!AY10</f>
        <v>237112.02694617576</v>
      </c>
      <c r="AY8" s="79">
        <f>'Income Statement - Monthly'!AZ10</f>
        <v>240852.20437459709</v>
      </c>
      <c r="AZ8" s="48">
        <f>'Income Statement - Monthly'!BA10</f>
        <v>244673.19599729215</v>
      </c>
      <c r="BA8" s="48">
        <f>'Income Statement - Monthly'!BB10</f>
        <v>248505.86694980279</v>
      </c>
      <c r="BB8" s="48">
        <f>'Income Statement - Monthly'!BC10</f>
        <v>252386.15157851425</v>
      </c>
      <c r="BC8" s="48">
        <f>'Income Statement - Monthly'!BD10</f>
        <v>256350.05897752268</v>
      </c>
      <c r="BD8" s="48">
        <f>'Income Statement - Monthly'!BE10</f>
        <v>260363.67896845177</v>
      </c>
      <c r="BE8" s="48">
        <f>'Income Statement - Monthly'!BF10</f>
        <v>264428.18855865515</v>
      </c>
      <c r="BF8" s="48">
        <f>'Income Statement - Monthly'!BG10</f>
        <v>268614.85891607491</v>
      </c>
      <c r="BG8" s="48">
        <f>'Income Statement - Monthly'!BH10</f>
        <v>272925.06290208816</v>
      </c>
      <c r="BH8" s="48">
        <f>'Income Statement - Monthly'!BI10</f>
        <v>277360.28320698248</v>
      </c>
      <c r="BI8" s="48">
        <f>'Income Statement - Monthly'!BJ10</f>
        <v>281922.12113626837</v>
      </c>
      <c r="BJ8" s="66">
        <f>'Income Statement - Monthly'!BK10</f>
        <v>286647.30609989708</v>
      </c>
    </row>
    <row r="9" spans="2:62" s="15" customFormat="1" x14ac:dyDescent="0.2">
      <c r="B9" s="98" t="s">
        <v>118</v>
      </c>
      <c r="C9" s="270">
        <f>0-'Balance Sheet - Monthly'!C7</f>
        <v>0</v>
      </c>
      <c r="D9" s="271">
        <f>'Balance Sheet - Monthly'!C7-'Balance Sheet - Monthly'!D7</f>
        <v>0</v>
      </c>
      <c r="E9" s="271">
        <f>'Balance Sheet - Monthly'!D7-'Balance Sheet - Monthly'!E7</f>
        <v>0</v>
      </c>
      <c r="F9" s="271">
        <f>'Balance Sheet - Monthly'!E7-'Balance Sheet - Monthly'!F7</f>
        <v>0</v>
      </c>
      <c r="G9" s="38">
        <f>'Balance Sheet - Monthly'!F7-'Balance Sheet - Monthly'!G7</f>
        <v>0</v>
      </c>
      <c r="H9" s="38">
        <f>'Balance Sheet - Monthly'!G7-'Balance Sheet - Monthly'!H7</f>
        <v>0</v>
      </c>
      <c r="I9" s="38">
        <f>'Balance Sheet - Monthly'!H7-'Balance Sheet - Monthly'!I7</f>
        <v>0</v>
      </c>
      <c r="J9" s="38">
        <f>'Balance Sheet - Monthly'!I7-'Balance Sheet - Monthly'!J7</f>
        <v>0</v>
      </c>
      <c r="K9" s="38">
        <f>'Balance Sheet - Monthly'!J7-'Balance Sheet - Monthly'!K7</f>
        <v>0</v>
      </c>
      <c r="L9" s="38">
        <f>'Balance Sheet - Monthly'!K7-'Balance Sheet - Monthly'!L7</f>
        <v>0</v>
      </c>
      <c r="M9" s="38">
        <f>'Balance Sheet - Monthly'!L7-'Balance Sheet - Monthly'!M7</f>
        <v>0</v>
      </c>
      <c r="N9" s="84">
        <f>'Balance Sheet - Monthly'!M7-'Balance Sheet - Monthly'!N7</f>
        <v>0</v>
      </c>
      <c r="O9" s="38">
        <f>'Balance Sheet - Monthly'!N7-'Balance Sheet - Monthly'!O7</f>
        <v>0</v>
      </c>
      <c r="P9" s="38">
        <f>'Balance Sheet - Monthly'!O7-'Balance Sheet - Monthly'!P7</f>
        <v>0</v>
      </c>
      <c r="Q9" s="38">
        <f>'Balance Sheet - Monthly'!P7-'Balance Sheet - Monthly'!Q7</f>
        <v>0</v>
      </c>
      <c r="R9" s="38">
        <f>'Balance Sheet - Monthly'!Q7-'Balance Sheet - Monthly'!R7</f>
        <v>0</v>
      </c>
      <c r="S9" s="38">
        <f>'Balance Sheet - Monthly'!R7-'Balance Sheet - Monthly'!S7</f>
        <v>0</v>
      </c>
      <c r="T9" s="38">
        <f>'Balance Sheet - Monthly'!S7-'Balance Sheet - Monthly'!T7</f>
        <v>0</v>
      </c>
      <c r="U9" s="38">
        <f>'Balance Sheet - Monthly'!T7-'Balance Sheet - Monthly'!U7</f>
        <v>0</v>
      </c>
      <c r="V9" s="38">
        <f>'Balance Sheet - Monthly'!U7-'Balance Sheet - Monthly'!V7</f>
        <v>0</v>
      </c>
      <c r="W9" s="38">
        <f>'Balance Sheet - Monthly'!V7-'Balance Sheet - Monthly'!W7</f>
        <v>0</v>
      </c>
      <c r="X9" s="38">
        <f>'Balance Sheet - Monthly'!W7-'Balance Sheet - Monthly'!X7</f>
        <v>0</v>
      </c>
      <c r="Y9" s="38">
        <f>'Balance Sheet - Monthly'!X7-'Balance Sheet - Monthly'!Y7</f>
        <v>0</v>
      </c>
      <c r="Z9" s="38">
        <f>'Balance Sheet - Monthly'!Y7-'Balance Sheet - Monthly'!Z7</f>
        <v>0</v>
      </c>
      <c r="AA9" s="83">
        <f>'Balance Sheet - Monthly'!Z7-'Balance Sheet - Monthly'!AA7</f>
        <v>0</v>
      </c>
      <c r="AB9" s="38">
        <f>'Balance Sheet - Monthly'!AA7-'Balance Sheet - Monthly'!AB7</f>
        <v>0</v>
      </c>
      <c r="AC9" s="38">
        <f>'Balance Sheet - Monthly'!AB7-'Balance Sheet - Monthly'!AC7</f>
        <v>0</v>
      </c>
      <c r="AD9" s="38">
        <f>'Balance Sheet - Monthly'!AC7-'Balance Sheet - Monthly'!AD7</f>
        <v>0</v>
      </c>
      <c r="AE9" s="38">
        <f>'Balance Sheet - Monthly'!AD7-'Balance Sheet - Monthly'!AE7</f>
        <v>0</v>
      </c>
      <c r="AF9" s="38">
        <f>'Balance Sheet - Monthly'!AE7-'Balance Sheet - Monthly'!AF7</f>
        <v>0</v>
      </c>
      <c r="AG9" s="38">
        <f>'Balance Sheet - Monthly'!AF7-'Balance Sheet - Monthly'!AG7</f>
        <v>0</v>
      </c>
      <c r="AH9" s="38">
        <f>'Balance Sheet - Monthly'!AG7-'Balance Sheet - Monthly'!AH7</f>
        <v>0</v>
      </c>
      <c r="AI9" s="38">
        <f>'Balance Sheet - Monthly'!AH7-'Balance Sheet - Monthly'!AI7</f>
        <v>0</v>
      </c>
      <c r="AJ9" s="38">
        <f>'Balance Sheet - Monthly'!AI7-'Balance Sheet - Monthly'!AJ7</f>
        <v>0</v>
      </c>
      <c r="AK9" s="38">
        <f>'Balance Sheet - Monthly'!AJ7-'Balance Sheet - Monthly'!AK7</f>
        <v>0</v>
      </c>
      <c r="AL9" s="84">
        <f>'Balance Sheet - Monthly'!AK7-'Balance Sheet - Monthly'!AL7</f>
        <v>0</v>
      </c>
      <c r="AM9" s="38">
        <f>'Balance Sheet - Monthly'!AL7-'Balance Sheet - Monthly'!AM7</f>
        <v>0</v>
      </c>
      <c r="AN9" s="38">
        <f>'Balance Sheet - Monthly'!AM7-'Balance Sheet - Monthly'!AN7</f>
        <v>0</v>
      </c>
      <c r="AO9" s="38">
        <f>'Balance Sheet - Monthly'!AN7-'Balance Sheet - Monthly'!AO7</f>
        <v>0</v>
      </c>
      <c r="AP9" s="38">
        <f>'Balance Sheet - Monthly'!AO7-'Balance Sheet - Monthly'!AP7</f>
        <v>0</v>
      </c>
      <c r="AQ9" s="38">
        <f>'Balance Sheet - Monthly'!AP7-'Balance Sheet - Monthly'!AQ7</f>
        <v>0</v>
      </c>
      <c r="AR9" s="38">
        <f>'Balance Sheet - Monthly'!AQ7-'Balance Sheet - Monthly'!AR7</f>
        <v>0</v>
      </c>
      <c r="AS9" s="38">
        <f>'Balance Sheet - Monthly'!AR7-'Balance Sheet - Monthly'!AS7</f>
        <v>0</v>
      </c>
      <c r="AT9" s="38">
        <f>'Balance Sheet - Monthly'!AS7-'Balance Sheet - Monthly'!AT7</f>
        <v>0</v>
      </c>
      <c r="AU9" s="38">
        <f>'Balance Sheet - Monthly'!AT7-'Balance Sheet - Monthly'!AU7</f>
        <v>0</v>
      </c>
      <c r="AV9" s="38">
        <f>'Balance Sheet - Monthly'!AU7-'Balance Sheet - Monthly'!AV7</f>
        <v>0</v>
      </c>
      <c r="AW9" s="38">
        <f>'Balance Sheet - Monthly'!AV7-'Balance Sheet - Monthly'!AW7</f>
        <v>0</v>
      </c>
      <c r="AX9" s="38">
        <f>'Balance Sheet - Monthly'!AW7-'Balance Sheet - Monthly'!AX7</f>
        <v>0</v>
      </c>
      <c r="AY9" s="83">
        <f>'Balance Sheet - Monthly'!AX7-'Balance Sheet - Monthly'!AY7</f>
        <v>0</v>
      </c>
      <c r="AZ9" s="38">
        <f>'Balance Sheet - Monthly'!AY7-'Balance Sheet - Monthly'!AZ7</f>
        <v>0</v>
      </c>
      <c r="BA9" s="38">
        <f>'Balance Sheet - Monthly'!AZ7-'Balance Sheet - Monthly'!BA7</f>
        <v>0</v>
      </c>
      <c r="BB9" s="38">
        <f>'Balance Sheet - Monthly'!BA7-'Balance Sheet - Monthly'!BB7</f>
        <v>0</v>
      </c>
      <c r="BC9" s="38">
        <f>'Balance Sheet - Monthly'!BB7-'Balance Sheet - Monthly'!BC7</f>
        <v>0</v>
      </c>
      <c r="BD9" s="38">
        <f>'Balance Sheet - Monthly'!BC7-'Balance Sheet - Monthly'!BD7</f>
        <v>0</v>
      </c>
      <c r="BE9" s="38">
        <f>'Balance Sheet - Monthly'!BD7-'Balance Sheet - Monthly'!BE7</f>
        <v>0</v>
      </c>
      <c r="BF9" s="38">
        <f>'Balance Sheet - Monthly'!BE7-'Balance Sheet - Monthly'!BF7</f>
        <v>0</v>
      </c>
      <c r="BG9" s="38">
        <f>'Balance Sheet - Monthly'!BF7-'Balance Sheet - Monthly'!BG7</f>
        <v>0</v>
      </c>
      <c r="BH9" s="38">
        <f>'Balance Sheet - Monthly'!BG7-'Balance Sheet - Monthly'!BH7</f>
        <v>0</v>
      </c>
      <c r="BI9" s="38">
        <f>'Balance Sheet - Monthly'!BH7-'Balance Sheet - Monthly'!BI7</f>
        <v>0</v>
      </c>
      <c r="BJ9" s="84">
        <f>'Balance Sheet - Monthly'!BI7-'Balance Sheet - Monthly'!BJ7</f>
        <v>0</v>
      </c>
    </row>
    <row r="10" spans="2:62" s="15" customFormat="1" x14ac:dyDescent="0.2">
      <c r="B10" s="139" t="s">
        <v>120</v>
      </c>
      <c r="C10" s="272">
        <f t="shared" ref="C10:AH10" si="1">SUM(C8:C9)</f>
        <v>23467.5</v>
      </c>
      <c r="D10" s="273">
        <f t="shared" si="1"/>
        <v>24457.5</v>
      </c>
      <c r="E10" s="273">
        <f t="shared" si="1"/>
        <v>38122</v>
      </c>
      <c r="F10" s="273">
        <f t="shared" si="1"/>
        <v>53067.265570894335</v>
      </c>
      <c r="G10" s="46">
        <f t="shared" si="1"/>
        <v>66133.562885364416</v>
      </c>
      <c r="H10" s="46">
        <f t="shared" si="1"/>
        <v>73803.502382004415</v>
      </c>
      <c r="I10" s="46">
        <f t="shared" si="1"/>
        <v>81333.837038375612</v>
      </c>
      <c r="J10" s="46">
        <f t="shared" si="1"/>
        <v>88654.59846725651</v>
      </c>
      <c r="K10" s="46">
        <f t="shared" si="1"/>
        <v>95800.820810447884</v>
      </c>
      <c r="L10" s="46">
        <f t="shared" si="1"/>
        <v>102772.54094109456</v>
      </c>
      <c r="M10" s="46">
        <f t="shared" si="1"/>
        <v>109569.79868219297</v>
      </c>
      <c r="N10" s="74">
        <f t="shared" si="1"/>
        <v>116192.63704257926</v>
      </c>
      <c r="O10" s="46">
        <f t="shared" si="1"/>
        <v>122641.10247179643</v>
      </c>
      <c r="P10" s="46">
        <f t="shared" si="1"/>
        <v>128985.245135351</v>
      </c>
      <c r="Q10" s="46">
        <f t="shared" si="1"/>
        <v>135155.11921198992</v>
      </c>
      <c r="R10" s="46">
        <f t="shared" si="1"/>
        <v>141185.78321475998</v>
      </c>
      <c r="S10" s="46">
        <f t="shared" si="1"/>
        <v>147077.30033775163</v>
      </c>
      <c r="T10" s="46">
        <f t="shared" si="1"/>
        <v>152829.73883058259</v>
      </c>
      <c r="U10" s="46">
        <f t="shared" si="1"/>
        <v>158443.17240284002</v>
      </c>
      <c r="V10" s="46">
        <f t="shared" si="1"/>
        <v>163917.6806608781</v>
      </c>
      <c r="W10" s="46">
        <f t="shared" si="1"/>
        <v>169288.3495795592</v>
      </c>
      <c r="X10" s="46">
        <f t="shared" si="1"/>
        <v>174520.27201173478</v>
      </c>
      <c r="Y10" s="46">
        <f t="shared" si="1"/>
        <v>179648.54823848442</v>
      </c>
      <c r="Z10" s="46">
        <f t="shared" si="1"/>
        <v>184673.28656337401</v>
      </c>
      <c r="AA10" s="73">
        <f t="shared" si="1"/>
        <v>143485.09386779944</v>
      </c>
      <c r="AB10" s="46">
        <f t="shared" si="1"/>
        <v>148303.11664995068</v>
      </c>
      <c r="AC10" s="46">
        <f t="shared" si="1"/>
        <v>153017.981254674</v>
      </c>
      <c r="AD10" s="46">
        <f t="shared" si="1"/>
        <v>157629.8350277752</v>
      </c>
      <c r="AE10" s="46">
        <f t="shared" si="1"/>
        <v>162138.83710272447</v>
      </c>
      <c r="AF10" s="46">
        <f t="shared" si="1"/>
        <v>166580.15934366971</v>
      </c>
      <c r="AG10" s="46">
        <f t="shared" si="1"/>
        <v>170953.98736389054</v>
      </c>
      <c r="AH10" s="46">
        <f t="shared" si="1"/>
        <v>175260.52162572904</v>
      </c>
      <c r="AI10" s="46">
        <f t="shared" ref="AI10:BJ10" si="2">SUM(AI8:AI9)</f>
        <v>179429.97862851465</v>
      </c>
      <c r="AJ10" s="46">
        <f t="shared" si="2"/>
        <v>183567.59219152312</v>
      </c>
      <c r="AK10" s="46">
        <f t="shared" si="2"/>
        <v>187638.61483957223</v>
      </c>
      <c r="AL10" s="74">
        <f t="shared" si="2"/>
        <v>191643.31929946528</v>
      </c>
      <c r="AM10" s="46">
        <f t="shared" si="2"/>
        <v>195617.00011614978</v>
      </c>
      <c r="AN10" s="46">
        <f t="shared" si="2"/>
        <v>199524.97539816902</v>
      </c>
      <c r="AO10" s="46">
        <f t="shared" si="2"/>
        <v>203367.58870274984</v>
      </c>
      <c r="AP10" s="46">
        <f t="shared" si="2"/>
        <v>207215.21107169709</v>
      </c>
      <c r="AQ10" s="46">
        <f t="shared" si="2"/>
        <v>210998.24323016012</v>
      </c>
      <c r="AR10" s="46">
        <f t="shared" si="2"/>
        <v>214752.11796130022</v>
      </c>
      <c r="AS10" s="46">
        <f t="shared" si="2"/>
        <v>218512.3026709315</v>
      </c>
      <c r="AT10" s="46">
        <f t="shared" si="2"/>
        <v>222244.3021573333</v>
      </c>
      <c r="AU10" s="46">
        <f t="shared" si="2"/>
        <v>225948.66160264722</v>
      </c>
      <c r="AV10" s="46">
        <f t="shared" si="2"/>
        <v>229660.96980358628</v>
      </c>
      <c r="AW10" s="46">
        <f t="shared" si="2"/>
        <v>233381.86266060045</v>
      </c>
      <c r="AX10" s="46">
        <f t="shared" si="2"/>
        <v>237112.02694617576</v>
      </c>
      <c r="AY10" s="73">
        <f t="shared" si="2"/>
        <v>240852.20437459709</v>
      </c>
      <c r="AZ10" s="46">
        <f t="shared" si="2"/>
        <v>244673.19599729215</v>
      </c>
      <c r="BA10" s="46">
        <f t="shared" si="2"/>
        <v>248505.86694980279</v>
      </c>
      <c r="BB10" s="46">
        <f t="shared" si="2"/>
        <v>252386.15157851425</v>
      </c>
      <c r="BC10" s="46">
        <f t="shared" si="2"/>
        <v>256350.05897752268</v>
      </c>
      <c r="BD10" s="46">
        <f t="shared" si="2"/>
        <v>260363.67896845177</v>
      </c>
      <c r="BE10" s="46">
        <f t="shared" si="2"/>
        <v>264428.18855865515</v>
      </c>
      <c r="BF10" s="46">
        <f t="shared" si="2"/>
        <v>268614.85891607491</v>
      </c>
      <c r="BG10" s="46">
        <f t="shared" si="2"/>
        <v>272925.06290208816</v>
      </c>
      <c r="BH10" s="46">
        <f t="shared" si="2"/>
        <v>277360.28320698248</v>
      </c>
      <c r="BI10" s="46">
        <f t="shared" si="2"/>
        <v>281922.12113626837</v>
      </c>
      <c r="BJ10" s="74">
        <f t="shared" si="2"/>
        <v>286647.30609989708</v>
      </c>
    </row>
    <row r="11" spans="2:62" s="15" customFormat="1" x14ac:dyDescent="0.2">
      <c r="B11" s="2"/>
      <c r="C11" s="268"/>
      <c r="D11" s="321"/>
      <c r="E11" s="321"/>
      <c r="F11" s="321"/>
      <c r="N11" s="97"/>
      <c r="AA11" s="104"/>
      <c r="AL11" s="97"/>
      <c r="AY11" s="104"/>
      <c r="BJ11" s="97"/>
    </row>
    <row r="12" spans="2:62" x14ac:dyDescent="0.2">
      <c r="B12" s="2" t="s">
        <v>182</v>
      </c>
      <c r="C12" s="268"/>
      <c r="D12" s="269"/>
      <c r="E12" s="269"/>
      <c r="F12" s="269"/>
      <c r="G12" s="48"/>
      <c r="H12" s="48"/>
      <c r="I12" s="48"/>
      <c r="J12" s="48"/>
      <c r="K12" s="48"/>
      <c r="L12" s="48"/>
      <c r="M12" s="48"/>
      <c r="N12" s="6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79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66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79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66"/>
    </row>
    <row r="13" spans="2:62" x14ac:dyDescent="0.2">
      <c r="B13" s="98" t="s">
        <v>183</v>
      </c>
      <c r="C13" s="281">
        <f>SUM('Income Statement - Monthly'!D18,'Income Statement - Monthly'!D27,'Income Statement - Monthly'!D40)</f>
        <v>47866</v>
      </c>
      <c r="D13" s="282">
        <f>SUM('Income Statement - Monthly'!E18,'Income Statement - Monthly'!E27,'Income Statement - Monthly'!E40)</f>
        <v>53736</v>
      </c>
      <c r="E13" s="282">
        <f>SUM('Income Statement - Monthly'!F18,'Income Statement - Monthly'!F27,'Income Statement - Monthly'!F40)</f>
        <v>52301</v>
      </c>
      <c r="F13" s="282">
        <f>SUM('Income Statement - Monthly'!G18,'Income Statement - Monthly'!G27,'Income Statement - Monthly'!G40)</f>
        <v>85376.678</v>
      </c>
      <c r="G13" s="18">
        <f>SUM('Income Statement - Monthly'!H18,'Income Statement - Monthly'!H27,'Income Statement - Monthly'!H40)</f>
        <v>111234.94241664265</v>
      </c>
      <c r="H13" s="18">
        <f>SUM('Income Statement - Monthly'!I18,'Income Statement - Monthly'!I27,'Income Statement - Monthly'!I40)</f>
        <v>114302.65135464264</v>
      </c>
      <c r="I13" s="18">
        <f>SUM('Income Statement - Monthly'!J18,'Income Statement - Monthly'!J27,'Income Statement - Monthly'!J40)</f>
        <v>129074.49700768266</v>
      </c>
      <c r="J13" s="18">
        <f>SUM('Income Statement - Monthly'!K18,'Income Statement - Monthly'!K27,'Income Statement - Monthly'!K40)</f>
        <v>132002.49031296585</v>
      </c>
      <c r="K13" s="18">
        <f>SUM('Income Statement - Monthly'!L18,'Income Statement - Monthly'!L27,'Income Statement - Monthly'!L40)</f>
        <v>134860.64308267171</v>
      </c>
      <c r="L13" s="18">
        <f>SUM('Income Statement - Monthly'!M18,'Income Statement - Monthly'!M27,'Income Statement - Monthly'!M40)</f>
        <v>137648.96807395405</v>
      </c>
      <c r="M13" s="18">
        <f>SUM('Income Statement - Monthly'!N18,'Income Statement - Monthly'!N27,'Income Statement - Monthly'!N40)</f>
        <v>141027.47906453896</v>
      </c>
      <c r="N13" s="89">
        <f>SUM('Income Statement - Monthly'!O18,'Income Statement - Monthly'!O27,'Income Statement - Monthly'!O40)</f>
        <v>143676.19093437065</v>
      </c>
      <c r="O13" s="18">
        <f>SUM('Income Statement - Monthly'!P18,'Income Statement - Monthly'!P27,'Income Statement - Monthly'!P40)</f>
        <v>160855.11975378889</v>
      </c>
      <c r="P13" s="18">
        <f>SUM('Income Statement - Monthly'!Q18,'Income Statement - Monthly'!Q27,'Income Statement - Monthly'!Q40)</f>
        <v>163392.2828787606</v>
      </c>
      <c r="Q13" s="18">
        <f>SUM('Income Statement - Monthly'!R18,'Income Statement - Monthly'!R27,'Income Statement - Monthly'!R40)</f>
        <v>166519.69905373</v>
      </c>
      <c r="R13" s="18">
        <f>SUM('Income Statement - Monthly'!S18,'Income Statement - Monthly'!S27,'Income Statement - Monthly'!S40)</f>
        <v>168931.388522697</v>
      </c>
      <c r="S13" s="18">
        <f>SUM('Income Statement - Monthly'!T18,'Income Statement - Monthly'!T27,'Income Statement - Monthly'!T40)</f>
        <v>171287.37314918137</v>
      </c>
      <c r="T13" s="18">
        <f>SUM('Income Statement - Monthly'!U18,'Income Statement - Monthly'!U27,'Income Statement - Monthly'!U40)</f>
        <v>173587.67654578446</v>
      </c>
      <c r="U13" s="18">
        <f>SUM('Income Statement - Monthly'!V18,'Income Statement - Monthly'!V27,'Income Statement - Monthly'!V40)</f>
        <v>198692.3242141158</v>
      </c>
      <c r="V13" s="18">
        <f>SUM('Income Statement - Monthly'!W18,'Income Statement - Monthly'!W27,'Income Statement - Monthly'!W40)</f>
        <v>200881.34369591365</v>
      </c>
      <c r="W13" s="18">
        <f>SUM('Income Statement - Monthly'!X18,'Income Statement - Monthly'!X27,'Income Statement - Monthly'!X40)</f>
        <v>203028.76473625534</v>
      </c>
      <c r="X13" s="18">
        <f>SUM('Income Statement - Monthly'!Y18,'Income Statement - Monthly'!Y27,'Income Statement - Monthly'!Y40)</f>
        <v>205120.61945982435</v>
      </c>
      <c r="Y13" s="18">
        <f>SUM('Income Statement - Monthly'!Z18,'Income Statement - Monthly'!Z27,'Income Statement - Monthly'!Z40)</f>
        <v>207830.94256127888</v>
      </c>
      <c r="Z13" s="18">
        <f>SUM('Income Statement - Monthly'!AA18,'Income Statement - Monthly'!AA27,'Income Statement - Monthly'!AA40)</f>
        <v>209839.77151084977</v>
      </c>
      <c r="AA13" s="88">
        <f>SUM('Income Statement - Monthly'!AB18,'Income Statement - Monthly'!AB27,'Income Statement - Monthly'!AB40)</f>
        <v>202931.06608474371</v>
      </c>
      <c r="AB13" s="18">
        <f>SUM('Income Statement - Monthly'!AC18,'Income Statement - Monthly'!AC27,'Income Statement - Monthly'!AC40)</f>
        <v>204857.03137152319</v>
      </c>
      <c r="AC13" s="18">
        <f>SUM('Income Statement - Monthly'!AD18,'Income Statement - Monthly'!AD27,'Income Statement - Monthly'!AD40)</f>
        <v>206741.63388124504</v>
      </c>
      <c r="AD13" s="18">
        <f>SUM('Income Statement - Monthly'!AE18,'Income Statement - Monthly'!AE27,'Income Statement - Monthly'!AE40)</f>
        <v>209244.92459174464</v>
      </c>
      <c r="AE13" s="18">
        <f>SUM('Income Statement - Monthly'!AF18,'Income Statement - Monthly'!AF27,'Income Statement - Monthly'!AF40)</f>
        <v>211046.95855908422</v>
      </c>
      <c r="AF13" s="18">
        <f>SUM('Income Statement - Monthly'!AG18,'Income Statement - Monthly'!AG27,'Income Statement - Monthly'!AG40)</f>
        <v>212821.79524381095</v>
      </c>
      <c r="AG13" s="18">
        <f>SUM('Income Statement - Monthly'!AH18,'Income Statement - Monthly'!AH27,'Income Statement - Monthly'!AH40)</f>
        <v>214569.49886331585</v>
      </c>
      <c r="AH13" s="18">
        <f>SUM('Income Statement - Monthly'!AI18,'Income Statement - Monthly'!AI27,'Income Statement - Monthly'!AI40)</f>
        <v>216290.13877238109</v>
      </c>
      <c r="AI13" s="18">
        <f>SUM('Income Statement - Monthly'!AJ18,'Income Statement - Monthly'!AJ27,'Income Statement - Monthly'!AJ40)</f>
        <v>217955.78987417161</v>
      </c>
      <c r="AJ13" s="18">
        <f>SUM('Income Statement - Monthly'!AK18,'Income Statement - Monthly'!AK27,'Income Statement - Monthly'!AK40)</f>
        <v>220268.53306410532</v>
      </c>
      <c r="AK13" s="18">
        <f>SUM('Income Statement - Monthly'!AL18,'Income Statement - Monthly'!AL27,'Income Statement - Monthly'!AL40)</f>
        <v>221894.45570923373</v>
      </c>
      <c r="AL13" s="89">
        <f>SUM('Income Statement - Monthly'!AM18,'Income Statement - Monthly'!AM27,'Income Statement - Monthly'!AM40)</f>
        <v>223493.65216597245</v>
      </c>
      <c r="AM13" s="18">
        <f>SUM('Income Statement - Monthly'!AN18,'Income Statement - Monthly'!AN27,'Income Statement - Monthly'!AN40)</f>
        <v>225080.22433925024</v>
      </c>
      <c r="AN13" s="18">
        <f>SUM('Income Statement - Monthly'!AO18,'Income Statement - Monthly'!AO27,'Income Statement - Monthly'!AO40)</f>
        <v>226640.28228639025</v>
      </c>
      <c r="AO13" s="18">
        <f>SUM('Income Statement - Monthly'!AP18,'Income Statement - Monthly'!AP27,'Income Statement - Monthly'!AP40)</f>
        <v>228173.94486930149</v>
      </c>
      <c r="AP13" s="18">
        <f>SUM('Income Statement - Monthly'!AQ18,'Income Statement - Monthly'!AQ27,'Income Statement - Monthly'!AQ40)</f>
        <v>230369.3404588456</v>
      </c>
      <c r="AQ13" s="18">
        <f>SUM('Income Statement - Monthly'!AR18,'Income Statement - Monthly'!AR27,'Income Statement - Monthly'!AR40)</f>
        <v>231878.60769555325</v>
      </c>
      <c r="AR13" s="18">
        <f>SUM('Income Statement - Monthly'!AS18,'Income Statement - Monthly'!AS27,'Income Statement - Monthly'!AS40)</f>
        <v>233375.89631119749</v>
      </c>
      <c r="AS13" s="18">
        <f>SUM('Income Statement - Monthly'!AT18,'Income Statement - Monthly'!AT27,'Income Statement - Monthly'!AT40)</f>
        <v>234875.3680160933</v>
      </c>
      <c r="AT13" s="18">
        <f>SUM('Income Statement - Monthly'!AU18,'Income Statement - Monthly'!AU27,'Income Statement - Monthly'!AU40)</f>
        <v>236363.19745738077</v>
      </c>
      <c r="AU13" s="18">
        <f>SUM('Income Statement - Monthly'!AV18,'Income Statement - Monthly'!AV27,'Income Statement - Monthly'!AV40)</f>
        <v>237839.57325397123</v>
      </c>
      <c r="AV13" s="18">
        <f>SUM('Income Statement - Monthly'!AW18,'Income Statement - Monthly'!AW27,'Income Statement - Monthly'!AW40)</f>
        <v>239318.69911428893</v>
      </c>
      <c r="AW13" s="18">
        <f>SUM('Income Statement - Monthly'!AX18,'Income Statement - Monthly'!AX27,'Income Statement - Monthly'!AX40)</f>
        <v>241460.79504343204</v>
      </c>
      <c r="AX13" s="18">
        <f>SUM('Income Statement - Monthly'!AY18,'Income Statement - Monthly'!AY27,'Income Statement - Monthly'!AY40)</f>
        <v>242946.09864690661</v>
      </c>
      <c r="AY13" s="88">
        <f>SUM('Income Statement - Monthly'!AZ18,'Income Statement - Monthly'!AZ27,'Income Statement - Monthly'!AZ40)</f>
        <v>244434.86653865915</v>
      </c>
      <c r="AZ13" s="18">
        <f>SUM('Income Statement - Monthly'!BA18,'Income Statement - Monthly'!BA27,'Income Statement - Monthly'!BA40)</f>
        <v>245955.37586175185</v>
      </c>
      <c r="BA13" s="18">
        <f>SUM('Income Statement - Monthly'!BB18,'Income Statement - Monthly'!BB27,'Income Statement - Monthly'!BB40)</f>
        <v>247479.925930692</v>
      </c>
      <c r="BB13" s="18">
        <f>SUM('Income Statement - Monthly'!BC18,'Income Statement - Monthly'!BC27,'Income Statement - Monthly'!BC40)</f>
        <v>249022.84000514739</v>
      </c>
      <c r="BC13" s="18">
        <f>SUM('Income Statement - Monthly'!BD18,'Income Statement - Monthly'!BD27,'Income Statement - Monthly'!BD40)</f>
        <v>251258.46720555917</v>
      </c>
      <c r="BD13" s="18">
        <f>SUM('Income Statement - Monthly'!BE18,'Income Statement - Monthly'!BE27,'Income Statement - Monthly'!BE40)</f>
        <v>252853.18458200392</v>
      </c>
      <c r="BE13" s="18">
        <f>SUM('Income Statement - Monthly'!BF18,'Income Statement - Monthly'!BF27,'Income Statement - Monthly'!BF40)</f>
        <v>254467.39934856421</v>
      </c>
      <c r="BF13" s="18">
        <f>SUM('Income Statement - Monthly'!BG18,'Income Statement - Monthly'!BG27,'Income Statement - Monthly'!BG40)</f>
        <v>256129.55129644932</v>
      </c>
      <c r="BG13" s="18">
        <f>SUM('Income Statement - Monthly'!BH18,'Income Statement - Monthly'!BH27,'Income Statement - Monthly'!BH40)</f>
        <v>257840.11540016529</v>
      </c>
      <c r="BH13" s="18">
        <f>SUM('Income Statement - Monthly'!BI18,'Income Statement - Monthly'!BI27,'Income Statement - Monthly'!BI40)</f>
        <v>259599.6046321785</v>
      </c>
      <c r="BI13" s="18">
        <f>SUM('Income Statement - Monthly'!BJ18,'Income Statement - Monthly'!BJ27,'Income Statement - Monthly'!BJ40)</f>
        <v>262068.57300275279</v>
      </c>
      <c r="BJ13" s="89">
        <f>SUM('Income Statement - Monthly'!BK18,'Income Statement - Monthly'!BK27,'Income Statement - Monthly'!BK40)</f>
        <v>263941.61884297302</v>
      </c>
    </row>
    <row r="14" spans="2:62" x14ac:dyDescent="0.2">
      <c r="B14" s="98" t="s">
        <v>184</v>
      </c>
      <c r="C14" s="268">
        <f>0-'Balance Sheet - Monthly'!C17</f>
        <v>-9866</v>
      </c>
      <c r="D14" s="269">
        <f>'Balance Sheet - Monthly'!C17-'Balance Sheet - Monthly'!D17</f>
        <v>-5870</v>
      </c>
      <c r="E14" s="269">
        <f>'Balance Sheet - Monthly'!D17-'Balance Sheet - Monthly'!E17</f>
        <v>1435</v>
      </c>
      <c r="F14" s="269">
        <f>'Balance Sheet - Monthly'!E17-'Balance Sheet - Monthly'!F17</f>
        <v>-32499.678</v>
      </c>
      <c r="G14" s="48">
        <f>'Balance Sheet - Monthly'!F17-'Balance Sheet - Monthly'!G17</f>
        <v>-25784.264416642647</v>
      </c>
      <c r="H14" s="48">
        <f>'Balance Sheet - Monthly'!G17-'Balance Sheet - Monthly'!H17</f>
        <v>-3067.7089379999961</v>
      </c>
      <c r="I14" s="48">
        <f>'Balance Sheet - Monthly'!H17-'Balance Sheet - Monthly'!I17</f>
        <v>-3121.8456530400144</v>
      </c>
      <c r="J14" s="48">
        <f>'Balance Sheet - Monthly'!I17-'Balance Sheet - Monthly'!J17</f>
        <v>-2927.9933052831911</v>
      </c>
      <c r="K14" s="48">
        <f>'Balance Sheet - Monthly'!J17-'Balance Sheet - Monthly'!K17</f>
        <v>-2858.1527697058627</v>
      </c>
      <c r="L14" s="48">
        <f>'Balance Sheet - Monthly'!K17-'Balance Sheet - Monthly'!L17</f>
        <v>-2788.324991282323</v>
      </c>
      <c r="M14" s="48">
        <f>'Balance Sheet - Monthly'!L17-'Balance Sheet - Monthly'!M17</f>
        <v>-2728.5109905849095</v>
      </c>
      <c r="N14" s="66">
        <f>'Balance Sheet - Monthly'!M17-'Balance Sheet - Monthly'!N17</f>
        <v>-2648.7118698317063</v>
      </c>
      <c r="O14" s="48">
        <f>'Balance Sheet - Monthly'!N17-'Balance Sheet - Monthly'!O17</f>
        <v>-3178.9288194182445</v>
      </c>
      <c r="P14" s="48">
        <f>'Balance Sheet - Monthly'!O17-'Balance Sheet - Monthly'!P17</f>
        <v>-2537.1631249716884</v>
      </c>
      <c r="Q14" s="48">
        <f>'Balance Sheet - Monthly'!P17-'Balance Sheet - Monthly'!Q17</f>
        <v>-2477.4161749694322</v>
      </c>
      <c r="R14" s="48">
        <f>'Balance Sheet - Monthly'!Q17-'Balance Sheet - Monthly'!R17</f>
        <v>-2411.6894689669862</v>
      </c>
      <c r="S14" s="48">
        <f>'Balance Sheet - Monthly'!R17-'Balance Sheet - Monthly'!S17</f>
        <v>-2355.98462648438</v>
      </c>
      <c r="T14" s="48">
        <f>'Balance Sheet - Monthly'!S17-'Balance Sheet - Monthly'!T17</f>
        <v>-2300.3033966030926</v>
      </c>
      <c r="U14" s="48">
        <f>'Balance Sheet - Monthly'!T17-'Balance Sheet - Monthly'!U17</f>
        <v>-2454.6476683313231</v>
      </c>
      <c r="V14" s="48">
        <f>'Balance Sheet - Monthly'!U17-'Balance Sheet - Monthly'!V17</f>
        <v>-2189.0194817978481</v>
      </c>
      <c r="W14" s="48">
        <f>'Balance Sheet - Monthly'!V17-'Balance Sheet - Monthly'!W17</f>
        <v>-2147.4210403416801</v>
      </c>
      <c r="X14" s="48">
        <f>'Balance Sheet - Monthly'!W17-'Balance Sheet - Monthly'!X17</f>
        <v>-2091.8547235690203</v>
      </c>
      <c r="Y14" s="48">
        <f>'Balance Sheet - Monthly'!X17-'Balance Sheet - Monthly'!Y17</f>
        <v>-2060.3231014545308</v>
      </c>
      <c r="Z14" s="48">
        <f>'Balance Sheet - Monthly'!Y17-'Balance Sheet - Monthly'!Z17</f>
        <v>-2008.8289495709032</v>
      </c>
      <c r="AA14" s="79">
        <f>'Balance Sheet - Monthly'!Z17-'Balance Sheet - Monthly'!AA17</f>
        <v>6908.7054261060839</v>
      </c>
      <c r="AB14" s="48">
        <f>'Balance Sheet - Monthly'!AA17-'Balance Sheet - Monthly'!AB17</f>
        <v>-1925.9652867794939</v>
      </c>
      <c r="AC14" s="48">
        <f>'Balance Sheet - Monthly'!AB17-'Balance Sheet - Monthly'!AC17</f>
        <v>-1884.6025097218517</v>
      </c>
      <c r="AD14" s="48">
        <f>'Balance Sheet - Monthly'!AC17-'Balance Sheet - Monthly'!AD17</f>
        <v>-1853.2907104995975</v>
      </c>
      <c r="AE14" s="48">
        <f>'Balance Sheet - Monthly'!AD17-'Balance Sheet - Monthly'!AE17</f>
        <v>-1802.0339673395792</v>
      </c>
      <c r="AF14" s="48">
        <f>'Balance Sheet - Monthly'!AE17-'Balance Sheet - Monthly'!AF17</f>
        <v>-1774.8366847267316</v>
      </c>
      <c r="AG14" s="48">
        <f>'Balance Sheet - Monthly'!AF17-'Balance Sheet - Monthly'!AG17</f>
        <v>-1747.7036195048859</v>
      </c>
      <c r="AH14" s="48">
        <f>'Balance Sheet - Monthly'!AG17-'Balance Sheet - Monthly'!AH17</f>
        <v>-1720.6399090652558</v>
      </c>
      <c r="AI14" s="48">
        <f>'Balance Sheet - Monthly'!AH17-'Balance Sheet - Monthly'!AI17</f>
        <v>-1665.6511017904995</v>
      </c>
      <c r="AJ14" s="48">
        <f>'Balance Sheet - Monthly'!AI17-'Balance Sheet - Monthly'!AJ17</f>
        <v>-1662.7431899337244</v>
      </c>
      <c r="AK14" s="48">
        <f>'Balance Sheet - Monthly'!AJ17-'Balance Sheet - Monthly'!AK17</f>
        <v>-1625.9226451284194</v>
      </c>
      <c r="AL14" s="66">
        <f>'Balance Sheet - Monthly'!AK17-'Balance Sheet - Monthly'!AL17</f>
        <v>-1599.1964567387186</v>
      </c>
      <c r="AM14" s="48">
        <f>'Balance Sheet - Monthly'!AL17-'Balance Sheet - Monthly'!AM17</f>
        <v>-1586.5721732777893</v>
      </c>
      <c r="AN14" s="48">
        <f>'Balance Sheet - Monthly'!AM17-'Balance Sheet - Monthly'!AN17</f>
        <v>-1560.0579471400124</v>
      </c>
      <c r="AO14" s="48">
        <f>'Balance Sheet - Monthly'!AN17-'Balance Sheet - Monthly'!AO17</f>
        <v>-1533.6625829112309</v>
      </c>
      <c r="AP14" s="48">
        <f>'Balance Sheet - Monthly'!AO17-'Balance Sheet - Monthly'!AP17</f>
        <v>-1545.3955895441177</v>
      </c>
      <c r="AQ14" s="48">
        <f>'Balance Sheet - Monthly'!AP17-'Balance Sheet - Monthly'!AQ17</f>
        <v>-1509.2672367076448</v>
      </c>
      <c r="AR14" s="48">
        <f>'Balance Sheet - Monthly'!AQ17-'Balance Sheet - Monthly'!AR17</f>
        <v>-1497.2886156442401</v>
      </c>
      <c r="AS14" s="48">
        <f>'Balance Sheet - Monthly'!AR17-'Balance Sheet - Monthly'!AS17</f>
        <v>-1499.4717048958119</v>
      </c>
      <c r="AT14" s="48">
        <f>'Balance Sheet - Monthly'!AS17-'Balance Sheet - Monthly'!AT17</f>
        <v>-1487.8294412874675</v>
      </c>
      <c r="AU14" s="48">
        <f>'Balance Sheet - Monthly'!AT17-'Balance Sheet - Monthly'!AU17</f>
        <v>-1476.3757965904661</v>
      </c>
      <c r="AV14" s="48">
        <f>'Balance Sheet - Monthly'!AU17-'Balance Sheet - Monthly'!AV17</f>
        <v>-1479.1258603176975</v>
      </c>
      <c r="AW14" s="48">
        <f>'Balance Sheet - Monthly'!AV17-'Balance Sheet - Monthly'!AW17</f>
        <v>-1492.0959291431063</v>
      </c>
      <c r="AX14" s="48">
        <f>'Balance Sheet - Monthly'!AW17-'Balance Sheet - Monthly'!AX17</f>
        <v>-1485.3036034745746</v>
      </c>
      <c r="AY14" s="79">
        <f>'Balance Sheet - Monthly'!AX17-'Balance Sheet - Monthly'!AY17</f>
        <v>-1488.7678917525336</v>
      </c>
      <c r="AZ14" s="48">
        <f>'Balance Sheet - Monthly'!AY17-'Balance Sheet - Monthly'!AZ17</f>
        <v>-1520.5093230927014</v>
      </c>
      <c r="BA14" s="48">
        <f>'Balance Sheet - Monthly'!AZ17-'Balance Sheet - Monthly'!BA17</f>
        <v>-1524.5500689401524</v>
      </c>
      <c r="BB14" s="48">
        <f>'Balance Sheet - Monthly'!BA17-'Balance Sheet - Monthly'!BB17</f>
        <v>-1542.9140744553879</v>
      </c>
      <c r="BC14" s="48">
        <f>'Balance Sheet - Monthly'!BB17-'Balance Sheet - Monthly'!BC17</f>
        <v>-1585.6272004117782</v>
      </c>
      <c r="BD14" s="48">
        <f>'Balance Sheet - Monthly'!BC17-'Balance Sheet - Monthly'!BD17</f>
        <v>-1594.7173764447507</v>
      </c>
      <c r="BE14" s="48">
        <f>'Balance Sheet - Monthly'!BD17-'Balance Sheet - Monthly'!BE17</f>
        <v>-1614.2147665602679</v>
      </c>
      <c r="BF14" s="48">
        <f>'Balance Sheet - Monthly'!BE17-'Balance Sheet - Monthly'!BF17</f>
        <v>-1662.1519478851405</v>
      </c>
      <c r="BG14" s="48">
        <f>'Balance Sheet - Monthly'!BF17-'Balance Sheet - Monthly'!BG17</f>
        <v>-1710.5641037159658</v>
      </c>
      <c r="BH14" s="48">
        <f>'Balance Sheet - Monthly'!BG17-'Balance Sheet - Monthly'!BH17</f>
        <v>-1759.4892320132058</v>
      </c>
      <c r="BI14" s="48">
        <f>'Balance Sheet - Monthly'!BH17-'Balance Sheet - Monthly'!BI17</f>
        <v>-1818.9683705742937</v>
      </c>
      <c r="BJ14" s="66">
        <f>'Balance Sheet - Monthly'!BI17-'Balance Sheet - Monthly'!BJ17</f>
        <v>-1873.0458402202348</v>
      </c>
    </row>
    <row r="15" spans="2:62" x14ac:dyDescent="0.2">
      <c r="B15" s="98" t="s">
        <v>185</v>
      </c>
      <c r="C15" s="268">
        <f>'Balance Sheet - Monthly'!C8</f>
        <v>3617</v>
      </c>
      <c r="D15" s="269">
        <f>'Balance Sheet - Monthly'!D8-'Balance Sheet - Monthly'!C8</f>
        <v>164.5</v>
      </c>
      <c r="E15" s="269">
        <f>'Balance Sheet - Monthly'!E8-'Balance Sheet - Monthly'!D8</f>
        <v>334</v>
      </c>
      <c r="F15" s="269">
        <f>'Balance Sheet - Monthly'!F8-'Balance Sheet - Monthly'!E8</f>
        <v>1950.838999999999</v>
      </c>
      <c r="G15" s="48">
        <f>'Balance Sheet - Monthly'!G8-'Balance Sheet - Monthly'!F8</f>
        <v>1546.3822083213263</v>
      </c>
      <c r="H15" s="48">
        <f>'Balance Sheet - Monthly'!H8-'Balance Sheet - Monthly'!G8</f>
        <v>1150.6044689999999</v>
      </c>
      <c r="I15" s="48">
        <f>'Balance Sheet - Monthly'!I8-'Balance Sheet - Monthly'!H8</f>
        <v>1129.6728265199999</v>
      </c>
      <c r="J15" s="48">
        <f>'Balance Sheet - Monthly'!J8-'Balance Sheet - Monthly'!I8</f>
        <v>1098.246652641601</v>
      </c>
      <c r="K15" s="48">
        <f>'Balance Sheet - Monthly'!K8-'Balance Sheet - Monthly'!J8</f>
        <v>1072.0763848529277</v>
      </c>
      <c r="L15" s="48">
        <f>'Balance Sheet - Monthly'!L8-'Balance Sheet - Monthly'!K8</f>
        <v>1045.9124956411615</v>
      </c>
      <c r="M15" s="48">
        <f>'Balance Sheet - Monthly'!M8-'Balance Sheet - Monthly'!L8</f>
        <v>1019.7554952924565</v>
      </c>
      <c r="N15" s="66">
        <f>'Balance Sheet - Monthly'!N8-'Balance Sheet - Monthly'!M8</f>
        <v>993.60593491585132</v>
      </c>
      <c r="O15" s="48">
        <f>'Balance Sheet - Monthly'!O8-'Balance Sheet - Monthly'!N8</f>
        <v>967.46440970912045</v>
      </c>
      <c r="P15" s="48">
        <f>'Balance Sheet - Monthly'!P8-'Balance Sheet - Monthly'!O8</f>
        <v>951.83156248584783</v>
      </c>
      <c r="Q15" s="48">
        <f>'Balance Sheet - Monthly'!Q8-'Balance Sheet - Monthly'!P8</f>
        <v>925.70808748471609</v>
      </c>
      <c r="R15" s="48">
        <f>'Balance Sheet - Monthly'!R8-'Balance Sheet - Monthly'!Q8</f>
        <v>904.84473448349672</v>
      </c>
      <c r="S15" s="48">
        <f>'Balance Sheet - Monthly'!S8-'Balance Sheet - Monthly'!R8</f>
        <v>883.99231324217544</v>
      </c>
      <c r="T15" s="48">
        <f>'Balance Sheet - Monthly'!T8-'Balance Sheet - Monthly'!S8</f>
        <v>863.15169830154628</v>
      </c>
      <c r="U15" s="48">
        <f>'Balance Sheet - Monthly'!U8-'Balance Sheet - Monthly'!T8</f>
        <v>842.32383416567609</v>
      </c>
      <c r="V15" s="48">
        <f>'Balance Sheet - Monthly'!V8-'Balance Sheet - Monthly'!U8</f>
        <v>821.50974089892043</v>
      </c>
      <c r="W15" s="48">
        <f>'Balance Sheet - Monthly'!W8-'Balance Sheet - Monthly'!V8</f>
        <v>805.96052017084003</v>
      </c>
      <c r="X15" s="48">
        <f>'Balance Sheet - Monthly'!X8-'Balance Sheet - Monthly'!W8</f>
        <v>785.1773617845065</v>
      </c>
      <c r="Y15" s="48">
        <f>'Balance Sheet - Monthly'!Y8-'Balance Sheet - Monthly'!X8</f>
        <v>769.6615507272727</v>
      </c>
      <c r="Z15" s="48">
        <f>'Balance Sheet - Monthly'!Z8-'Balance Sheet - Monthly'!Y8</f>
        <v>754.16447478544796</v>
      </c>
      <c r="AA15" s="79">
        <f>'Balance Sheet - Monthly'!AA8-'Balance Sheet - Monthly'!Z8</f>
        <v>-3699.352713053042</v>
      </c>
      <c r="AB15" s="48">
        <f>'Balance Sheet - Monthly'!AB8-'Balance Sheet - Monthly'!AA8</f>
        <v>723.23264338974695</v>
      </c>
      <c r="AC15" s="48">
        <f>'Balance Sheet - Monthly'!AC8-'Balance Sheet - Monthly'!AB8</f>
        <v>707.80125486092584</v>
      </c>
      <c r="AD15" s="48">
        <f>'Balance Sheet - Monthly'!AD8-'Balance Sheet - Monthly'!AC8</f>
        <v>692.39535524980238</v>
      </c>
      <c r="AE15" s="48">
        <f>'Balance Sheet - Monthly'!AE8-'Balance Sheet - Monthly'!AD8</f>
        <v>677.01698366978599</v>
      </c>
      <c r="AF15" s="48">
        <f>'Balance Sheet - Monthly'!AF8-'Balance Sheet - Monthly'!AE8</f>
        <v>666.91834236336945</v>
      </c>
      <c r="AG15" s="48">
        <f>'Balance Sheet - Monthly'!AG8-'Balance Sheet - Monthly'!AF8</f>
        <v>656.85180975243929</v>
      </c>
      <c r="AH15" s="48">
        <f>'Balance Sheet - Monthly'!AH8-'Balance Sheet - Monthly'!AG8</f>
        <v>646.81995453263153</v>
      </c>
      <c r="AI15" s="48">
        <f>'Balance Sheet - Monthly'!AI8-'Balance Sheet - Monthly'!AH8</f>
        <v>626.32555089524612</v>
      </c>
      <c r="AJ15" s="48">
        <f>'Balance Sheet - Monthly'!AJ8-'Balance Sheet - Monthly'!AI8</f>
        <v>621.62159496686218</v>
      </c>
      <c r="AK15" s="48">
        <f>'Balance Sheet - Monthly'!AK8-'Balance Sheet - Monthly'!AJ8</f>
        <v>611.71132256421333</v>
      </c>
      <c r="AL15" s="66">
        <f>'Balance Sheet - Monthly'!AL8-'Balance Sheet - Monthly'!AK8</f>
        <v>601.84822836934836</v>
      </c>
      <c r="AM15" s="48">
        <f>'Balance Sheet - Monthly'!AM8-'Balance Sheet - Monthly'!AL8</f>
        <v>597.28608663889827</v>
      </c>
      <c r="AN15" s="48">
        <f>'Balance Sheet - Monthly'!AN8-'Balance Sheet - Monthly'!AM8</f>
        <v>587.52897357001348</v>
      </c>
      <c r="AO15" s="48">
        <f>'Balance Sheet - Monthly'!AO8-'Balance Sheet - Monthly'!AN8</f>
        <v>577.83129145560815</v>
      </c>
      <c r="AP15" s="48">
        <f>'Balance Sheet - Monthly'!AP8-'Balance Sheet - Monthly'!AO8</f>
        <v>578.69779477205884</v>
      </c>
      <c r="AQ15" s="48">
        <f>'Balance Sheet - Monthly'!AQ8-'Balance Sheet - Monthly'!AP8</f>
        <v>569.13361835382238</v>
      </c>
      <c r="AR15" s="48">
        <f>'Balance Sheet - Monthly'!AR8-'Balance Sheet - Monthly'!AQ8</f>
        <v>564.89430782213094</v>
      </c>
      <c r="AS15" s="48">
        <f>'Balance Sheet - Monthly'!AS8-'Balance Sheet - Monthly'!AR8</f>
        <v>565.98585244789865</v>
      </c>
      <c r="AT15" s="48">
        <f>'Balance Sheet - Monthly'!AT8-'Balance Sheet - Monthly'!AS8</f>
        <v>561.91472064373374</v>
      </c>
      <c r="AU15" s="48">
        <f>'Balance Sheet - Monthly'!AU8-'Balance Sheet - Monthly'!AT8</f>
        <v>557.93789829523303</v>
      </c>
      <c r="AV15" s="48">
        <f>'Balance Sheet - Monthly'!AV8-'Balance Sheet - Monthly'!AU8</f>
        <v>559.31293015884876</v>
      </c>
      <c r="AW15" s="48">
        <f>'Balance Sheet - Monthly'!AW8-'Balance Sheet - Monthly'!AV8</f>
        <v>560.79796457154589</v>
      </c>
      <c r="AX15" s="48">
        <f>'Balance Sheet - Monthly'!AX8-'Balance Sheet - Monthly'!AW8</f>
        <v>562.40180173728731</v>
      </c>
      <c r="AY15" s="79">
        <f>'Balance Sheet - Monthly'!AY8-'Balance Sheet - Monthly'!AX8</f>
        <v>564.13394587626681</v>
      </c>
      <c r="AZ15" s="48">
        <f>'Balance Sheet - Monthly'!AZ8-'Balance Sheet - Monthly'!AY8</f>
        <v>576.50466154636524</v>
      </c>
      <c r="BA15" s="48">
        <f>'Balance Sheet - Monthly'!BA8-'Balance Sheet - Monthly'!AZ8</f>
        <v>578.52503447007621</v>
      </c>
      <c r="BB15" s="48">
        <f>'Balance Sheet - Monthly'!BB8-'Balance Sheet - Monthly'!BA8</f>
        <v>585.95703722767939</v>
      </c>
      <c r="BC15" s="48">
        <f>'Balance Sheet - Monthly'!BC8-'Balance Sheet - Monthly'!BB8</f>
        <v>598.81360020589636</v>
      </c>
      <c r="BD15" s="48">
        <f>'Balance Sheet - Monthly'!BD8-'Balance Sheet - Monthly'!BC8</f>
        <v>606.60868822236807</v>
      </c>
      <c r="BE15" s="48">
        <f>'Balance Sheet - Monthly'!BE8-'Balance Sheet - Monthly'!BD8</f>
        <v>614.60738328015577</v>
      </c>
      <c r="BF15" s="48">
        <f>'Balance Sheet - Monthly'!BF8-'Balance Sheet - Monthly'!BE8</f>
        <v>633.325973942563</v>
      </c>
      <c r="BG15" s="48">
        <f>'Balance Sheet - Monthly'!BG8-'Balance Sheet - Monthly'!BF8</f>
        <v>652.2820518579756</v>
      </c>
      <c r="BH15" s="48">
        <f>'Balance Sheet - Monthly'!BH8-'Balance Sheet - Monthly'!BG8</f>
        <v>671.49461600661016</v>
      </c>
      <c r="BI15" s="48">
        <f>'Balance Sheet - Monthly'!BI8-'Balance Sheet - Monthly'!BH8</f>
        <v>690.98418528713955</v>
      </c>
      <c r="BJ15" s="66">
        <f>'Balance Sheet - Monthly'!BJ8-'Balance Sheet - Monthly'!BI8</f>
        <v>716.02292011012469</v>
      </c>
    </row>
    <row r="16" spans="2:62" x14ac:dyDescent="0.2">
      <c r="B16" s="98" t="s">
        <v>186</v>
      </c>
      <c r="C16" s="276">
        <f>NumberOfLocations*('Kiosk P&amp;L'!B21+'Kiosk P&amp;L'!B22)</f>
        <v>34000</v>
      </c>
      <c r="D16" s="275"/>
      <c r="E16" s="275"/>
      <c r="F16" s="275"/>
      <c r="N16" s="3"/>
      <c r="AA16" s="2"/>
      <c r="AL16" s="3"/>
      <c r="AY16" s="2"/>
      <c r="BJ16" s="3"/>
    </row>
    <row r="17" spans="2:62" x14ac:dyDescent="0.2">
      <c r="B17" s="98" t="s">
        <v>187</v>
      </c>
      <c r="C17" s="277"/>
      <c r="D17" s="278"/>
      <c r="E17" s="278"/>
      <c r="F17" s="278"/>
      <c r="G17" s="39"/>
      <c r="H17" s="39"/>
      <c r="I17" s="39"/>
      <c r="J17" s="39"/>
      <c r="K17" s="39"/>
      <c r="L17" s="39"/>
      <c r="M17" s="39"/>
      <c r="N17" s="87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86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87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86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87"/>
    </row>
    <row r="18" spans="2:62" s="1" customFormat="1" x14ac:dyDescent="0.2">
      <c r="B18" s="99" t="s">
        <v>188</v>
      </c>
      <c r="C18" s="279">
        <f>SUM(C13:C17)</f>
        <v>75617</v>
      </c>
      <c r="D18" s="280">
        <f>SUM(D13:D17)</f>
        <v>48030.5</v>
      </c>
      <c r="E18" s="280">
        <f t="shared" ref="E18:BJ18" si="3">SUM(E13:E17)</f>
        <v>54070</v>
      </c>
      <c r="F18" s="280">
        <f t="shared" si="3"/>
        <v>54827.839</v>
      </c>
      <c r="G18" s="20">
        <f t="shared" si="3"/>
        <v>86997.060208321331</v>
      </c>
      <c r="H18" s="20">
        <f t="shared" si="3"/>
        <v>112385.54688564265</v>
      </c>
      <c r="I18" s="20">
        <f t="shared" si="3"/>
        <v>127082.32418116264</v>
      </c>
      <c r="J18" s="20">
        <f t="shared" si="3"/>
        <v>130172.74366032425</v>
      </c>
      <c r="K18" s="20">
        <f t="shared" si="3"/>
        <v>133074.56669781878</v>
      </c>
      <c r="L18" s="20">
        <f t="shared" si="3"/>
        <v>135906.55557831289</v>
      </c>
      <c r="M18" s="20">
        <f t="shared" si="3"/>
        <v>139318.7235692465</v>
      </c>
      <c r="N18" s="67">
        <f t="shared" si="3"/>
        <v>142021.08499945482</v>
      </c>
      <c r="O18" s="20">
        <f t="shared" si="3"/>
        <v>158643.65534407977</v>
      </c>
      <c r="P18" s="20">
        <f t="shared" si="3"/>
        <v>161806.95131627476</v>
      </c>
      <c r="Q18" s="20">
        <f t="shared" si="3"/>
        <v>164967.9909662453</v>
      </c>
      <c r="R18" s="20">
        <f t="shared" si="3"/>
        <v>167424.54378821349</v>
      </c>
      <c r="S18" s="20">
        <f t="shared" si="3"/>
        <v>169815.38083593914</v>
      </c>
      <c r="T18" s="20">
        <f t="shared" si="3"/>
        <v>172150.52484748291</v>
      </c>
      <c r="U18" s="20">
        <f t="shared" si="3"/>
        <v>197080.00037995013</v>
      </c>
      <c r="V18" s="20">
        <f t="shared" si="3"/>
        <v>199513.83395501471</v>
      </c>
      <c r="W18" s="20">
        <f t="shared" si="3"/>
        <v>201687.30421608451</v>
      </c>
      <c r="X18" s="20">
        <f t="shared" si="3"/>
        <v>203813.94209803984</v>
      </c>
      <c r="Y18" s="20">
        <f t="shared" si="3"/>
        <v>206540.28101055161</v>
      </c>
      <c r="Z18" s="20">
        <f t="shared" si="3"/>
        <v>208585.10703606432</v>
      </c>
      <c r="AA18" s="80">
        <f t="shared" si="3"/>
        <v>206140.41879779677</v>
      </c>
      <c r="AB18" s="20">
        <f t="shared" si="3"/>
        <v>203654.29872813346</v>
      </c>
      <c r="AC18" s="20">
        <f t="shared" si="3"/>
        <v>205564.8326263841</v>
      </c>
      <c r="AD18" s="20">
        <f t="shared" si="3"/>
        <v>208084.02923649485</v>
      </c>
      <c r="AE18" s="20">
        <f t="shared" si="3"/>
        <v>209921.94157541441</v>
      </c>
      <c r="AF18" s="20">
        <f t="shared" si="3"/>
        <v>211713.8769014476</v>
      </c>
      <c r="AG18" s="20">
        <f t="shared" si="3"/>
        <v>213478.64705356341</v>
      </c>
      <c r="AH18" s="20">
        <f t="shared" si="3"/>
        <v>215216.31881784849</v>
      </c>
      <c r="AI18" s="20">
        <f t="shared" si="3"/>
        <v>216916.46432327636</v>
      </c>
      <c r="AJ18" s="20">
        <f t="shared" si="3"/>
        <v>219227.41146913846</v>
      </c>
      <c r="AK18" s="20">
        <f t="shared" si="3"/>
        <v>220880.24438666954</v>
      </c>
      <c r="AL18" s="67">
        <f t="shared" si="3"/>
        <v>222496.30393760308</v>
      </c>
      <c r="AM18" s="20">
        <f t="shared" si="3"/>
        <v>224090.93825261135</v>
      </c>
      <c r="AN18" s="20">
        <f t="shared" si="3"/>
        <v>225667.75331282025</v>
      </c>
      <c r="AO18" s="20">
        <f t="shared" si="3"/>
        <v>227218.11357784586</v>
      </c>
      <c r="AP18" s="20">
        <f t="shared" si="3"/>
        <v>229402.64266407356</v>
      </c>
      <c r="AQ18" s="20">
        <f t="shared" si="3"/>
        <v>230938.47407719941</v>
      </c>
      <c r="AR18" s="20">
        <f t="shared" si="3"/>
        <v>232443.50200337538</v>
      </c>
      <c r="AS18" s="20">
        <f t="shared" si="3"/>
        <v>233941.88216364538</v>
      </c>
      <c r="AT18" s="20">
        <f t="shared" si="3"/>
        <v>235437.28273673705</v>
      </c>
      <c r="AU18" s="20">
        <f t="shared" si="3"/>
        <v>236921.135355676</v>
      </c>
      <c r="AV18" s="20">
        <f t="shared" si="3"/>
        <v>238398.8861841301</v>
      </c>
      <c r="AW18" s="20">
        <f t="shared" si="3"/>
        <v>240529.49707886047</v>
      </c>
      <c r="AX18" s="20">
        <f t="shared" si="3"/>
        <v>242023.19684516932</v>
      </c>
      <c r="AY18" s="80">
        <f t="shared" si="3"/>
        <v>243510.23259278288</v>
      </c>
      <c r="AZ18" s="20">
        <f t="shared" si="3"/>
        <v>245011.37120020553</v>
      </c>
      <c r="BA18" s="20">
        <f t="shared" si="3"/>
        <v>246533.90089622192</v>
      </c>
      <c r="BB18" s="20">
        <f t="shared" si="3"/>
        <v>248065.88296791969</v>
      </c>
      <c r="BC18" s="20">
        <f t="shared" si="3"/>
        <v>250271.65360535329</v>
      </c>
      <c r="BD18" s="20">
        <f t="shared" si="3"/>
        <v>251865.07589378153</v>
      </c>
      <c r="BE18" s="20">
        <f t="shared" si="3"/>
        <v>253467.79196528409</v>
      </c>
      <c r="BF18" s="20">
        <f t="shared" si="3"/>
        <v>255100.72532250674</v>
      </c>
      <c r="BG18" s="20">
        <f t="shared" si="3"/>
        <v>256781.83334830729</v>
      </c>
      <c r="BH18" s="20">
        <f t="shared" si="3"/>
        <v>258511.61001617191</v>
      </c>
      <c r="BI18" s="20">
        <f t="shared" si="3"/>
        <v>260940.58881746564</v>
      </c>
      <c r="BJ18" s="67">
        <f t="shared" si="3"/>
        <v>262784.59592286294</v>
      </c>
    </row>
    <row r="19" spans="2:62" x14ac:dyDescent="0.2">
      <c r="B19" s="2"/>
      <c r="C19" s="281"/>
      <c r="D19" s="282"/>
      <c r="E19" s="282"/>
      <c r="F19" s="282"/>
      <c r="G19" s="18"/>
      <c r="H19" s="18"/>
      <c r="I19" s="18"/>
      <c r="J19" s="18"/>
      <c r="K19" s="18"/>
      <c r="L19" s="18"/>
      <c r="M19" s="18"/>
      <c r="N19" s="89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8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89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8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89"/>
    </row>
    <row r="20" spans="2:62" s="1" customFormat="1" x14ac:dyDescent="0.2">
      <c r="B20" s="45" t="s">
        <v>189</v>
      </c>
      <c r="C20" s="279">
        <f>C10-C18</f>
        <v>-52149.5</v>
      </c>
      <c r="D20" s="280">
        <f>D10-D18</f>
        <v>-23573</v>
      </c>
      <c r="E20" s="280">
        <f t="shared" ref="E20:BJ20" si="4">E10-E18</f>
        <v>-15948</v>
      </c>
      <c r="F20" s="280">
        <f t="shared" si="4"/>
        <v>-1760.5734291056651</v>
      </c>
      <c r="G20" s="20">
        <f t="shared" si="4"/>
        <v>-20863.497322956915</v>
      </c>
      <c r="H20" s="20">
        <f t="shared" si="4"/>
        <v>-38582.04450363823</v>
      </c>
      <c r="I20" s="20">
        <f t="shared" si="4"/>
        <v>-45748.487142787024</v>
      </c>
      <c r="J20" s="20">
        <f t="shared" si="4"/>
        <v>-41518.145193067743</v>
      </c>
      <c r="K20" s="20">
        <f t="shared" si="4"/>
        <v>-37273.745887370897</v>
      </c>
      <c r="L20" s="20">
        <f t="shared" si="4"/>
        <v>-33134.014637218337</v>
      </c>
      <c r="M20" s="20">
        <f t="shared" si="4"/>
        <v>-29748.924887053538</v>
      </c>
      <c r="N20" s="67">
        <f t="shared" si="4"/>
        <v>-25828.447956875563</v>
      </c>
      <c r="O20" s="20">
        <f t="shared" si="4"/>
        <v>-36002.552872283341</v>
      </c>
      <c r="P20" s="20">
        <f t="shared" si="4"/>
        <v>-32821.706180923764</v>
      </c>
      <c r="Q20" s="20">
        <f t="shared" si="4"/>
        <v>-29812.871754255379</v>
      </c>
      <c r="R20" s="20">
        <f t="shared" si="4"/>
        <v>-26238.760573453503</v>
      </c>
      <c r="S20" s="20">
        <f t="shared" si="4"/>
        <v>-22738.080498187512</v>
      </c>
      <c r="T20" s="20">
        <f t="shared" si="4"/>
        <v>-19320.786016900325</v>
      </c>
      <c r="U20" s="20">
        <f t="shared" si="4"/>
        <v>-38636.827977110108</v>
      </c>
      <c r="V20" s="20">
        <f t="shared" si="4"/>
        <v>-35596.153294136602</v>
      </c>
      <c r="W20" s="20">
        <f t="shared" si="4"/>
        <v>-32398.954636525305</v>
      </c>
      <c r="X20" s="20">
        <f t="shared" si="4"/>
        <v>-29293.670086305065</v>
      </c>
      <c r="Y20" s="20">
        <f t="shared" si="4"/>
        <v>-26891.732772067189</v>
      </c>
      <c r="Z20" s="20">
        <f t="shared" si="4"/>
        <v>-23911.820472690306</v>
      </c>
      <c r="AA20" s="80">
        <f t="shared" si="4"/>
        <v>-62655.324929997325</v>
      </c>
      <c r="AB20" s="20">
        <f t="shared" si="4"/>
        <v>-55351.182078182785</v>
      </c>
      <c r="AC20" s="20">
        <f t="shared" si="4"/>
        <v>-52546.851371710101</v>
      </c>
      <c r="AD20" s="20">
        <f t="shared" si="4"/>
        <v>-50454.194208719651</v>
      </c>
      <c r="AE20" s="20">
        <f t="shared" si="4"/>
        <v>-47783.104472689942</v>
      </c>
      <c r="AF20" s="20">
        <f t="shared" si="4"/>
        <v>-45133.717557777883</v>
      </c>
      <c r="AG20" s="20">
        <f t="shared" si="4"/>
        <v>-42524.659689672873</v>
      </c>
      <c r="AH20" s="20">
        <f t="shared" si="4"/>
        <v>-39955.79719211944</v>
      </c>
      <c r="AI20" s="20">
        <f t="shared" si="4"/>
        <v>-37486.485694761708</v>
      </c>
      <c r="AJ20" s="20">
        <f t="shared" si="4"/>
        <v>-35659.819277615345</v>
      </c>
      <c r="AK20" s="20">
        <f t="shared" si="4"/>
        <v>-33241.629547097313</v>
      </c>
      <c r="AL20" s="67">
        <f t="shared" si="4"/>
        <v>-30852.984638137801</v>
      </c>
      <c r="AM20" s="20">
        <f t="shared" si="4"/>
        <v>-28473.938136461569</v>
      </c>
      <c r="AN20" s="20">
        <f t="shared" si="4"/>
        <v>-26142.777914651233</v>
      </c>
      <c r="AO20" s="20">
        <f t="shared" si="4"/>
        <v>-23850.524875096016</v>
      </c>
      <c r="AP20" s="20">
        <f t="shared" si="4"/>
        <v>-22187.431592376466</v>
      </c>
      <c r="AQ20" s="20">
        <f t="shared" si="4"/>
        <v>-19940.230847039289</v>
      </c>
      <c r="AR20" s="20">
        <f t="shared" si="4"/>
        <v>-17691.384042075166</v>
      </c>
      <c r="AS20" s="20">
        <f t="shared" si="4"/>
        <v>-15429.579492713878</v>
      </c>
      <c r="AT20" s="20">
        <f t="shared" si="4"/>
        <v>-13192.980579403753</v>
      </c>
      <c r="AU20" s="20">
        <f t="shared" si="4"/>
        <v>-10972.473753028782</v>
      </c>
      <c r="AV20" s="20">
        <f t="shared" si="4"/>
        <v>-8737.9163805438147</v>
      </c>
      <c r="AW20" s="20">
        <f t="shared" si="4"/>
        <v>-7147.6344182600151</v>
      </c>
      <c r="AX20" s="20">
        <f t="shared" si="4"/>
        <v>-4911.1698989935685</v>
      </c>
      <c r="AY20" s="80">
        <f t="shared" si="4"/>
        <v>-2658.028218185791</v>
      </c>
      <c r="AZ20" s="20">
        <f t="shared" si="4"/>
        <v>-338.1752029133786</v>
      </c>
      <c r="BA20" s="20">
        <f t="shared" si="4"/>
        <v>1971.9660535808653</v>
      </c>
      <c r="BB20" s="20">
        <f t="shared" si="4"/>
        <v>4320.2686105945613</v>
      </c>
      <c r="BC20" s="20">
        <f t="shared" si="4"/>
        <v>6078.4053721693926</v>
      </c>
      <c r="BD20" s="20">
        <f t="shared" si="4"/>
        <v>8498.6030746702454</v>
      </c>
      <c r="BE20" s="20">
        <f t="shared" si="4"/>
        <v>10960.396593371057</v>
      </c>
      <c r="BF20" s="20">
        <f t="shared" si="4"/>
        <v>13514.133593568171</v>
      </c>
      <c r="BG20" s="20">
        <f t="shared" si="4"/>
        <v>16143.229553780868</v>
      </c>
      <c r="BH20" s="20">
        <f t="shared" si="4"/>
        <v>18848.673190810572</v>
      </c>
      <c r="BI20" s="20">
        <f t="shared" si="4"/>
        <v>20981.532318802725</v>
      </c>
      <c r="BJ20" s="67">
        <f t="shared" si="4"/>
        <v>23862.71017703414</v>
      </c>
    </row>
    <row r="21" spans="2:62" x14ac:dyDescent="0.2">
      <c r="B21" s="2"/>
      <c r="C21" s="276"/>
      <c r="D21" s="282"/>
      <c r="E21" s="282"/>
      <c r="F21" s="282"/>
      <c r="G21" s="18"/>
      <c r="H21" s="18"/>
      <c r="I21" s="18"/>
      <c r="J21" s="18"/>
      <c r="K21" s="18"/>
      <c r="L21" s="18"/>
      <c r="M21" s="18"/>
      <c r="N21" s="89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8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89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8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89"/>
    </row>
    <row r="22" spans="2:62" x14ac:dyDescent="0.2">
      <c r="B22" s="98" t="s">
        <v>190</v>
      </c>
      <c r="C22" s="276"/>
      <c r="D22" s="282"/>
      <c r="E22" s="282">
        <f>Month3Capital</f>
        <v>500000</v>
      </c>
      <c r="F22" s="282"/>
      <c r="G22" s="18"/>
      <c r="H22" s="18"/>
      <c r="I22" s="18"/>
      <c r="J22" s="18"/>
      <c r="K22" s="18"/>
      <c r="L22" s="18"/>
      <c r="M22" s="18"/>
      <c r="N22" s="89"/>
      <c r="O22" s="18"/>
      <c r="P22" s="18"/>
      <c r="Q22" s="18"/>
      <c r="S22" s="18"/>
      <c r="T22" s="18"/>
      <c r="U22" s="18">
        <f>CapitalSeriesA</f>
        <v>1000000</v>
      </c>
      <c r="W22" s="18"/>
      <c r="X22" s="18"/>
      <c r="Y22" s="18"/>
      <c r="Z22" s="18"/>
      <c r="AA22" s="8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89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8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89"/>
    </row>
    <row r="23" spans="2:62" x14ac:dyDescent="0.2">
      <c r="B23" s="98" t="s">
        <v>191</v>
      </c>
      <c r="C23" s="281">
        <f>'Income Statement - Monthly'!D44</f>
        <v>283.33333333333331</v>
      </c>
      <c r="D23" s="282">
        <f>'Income Statement - Monthly'!E44</f>
        <v>110.44611111111112</v>
      </c>
      <c r="E23" s="282">
        <f>'Income Statement - Monthly'!F44</f>
        <v>32.237598148148159</v>
      </c>
      <c r="F23" s="282">
        <f>'Income Statement - Monthly'!G44</f>
        <v>1645.8517234753087</v>
      </c>
      <c r="G23" s="18">
        <f>'Income Statement - Monthly'!H44</f>
        <v>1645.4693177898744</v>
      </c>
      <c r="H23" s="18">
        <f>'Income Statement - Monthly'!I44</f>
        <v>1581.4092244393175</v>
      </c>
      <c r="I23" s="18">
        <f>'Income Statement - Monthly'!J44</f>
        <v>1458.0737735086543</v>
      </c>
      <c r="J23" s="18">
        <f>'Income Statement - Monthly'!K44</f>
        <v>1310.4390622777266</v>
      </c>
      <c r="K23" s="18">
        <f>'Income Statement - Monthly'!L44</f>
        <v>1176.4133751750931</v>
      </c>
      <c r="L23" s="18">
        <f>'Income Statement - Monthly'!M44</f>
        <v>1056.0889334677738</v>
      </c>
      <c r="M23" s="18">
        <f>'Income Statement - Monthly'!N44</f>
        <v>949.16251445527189</v>
      </c>
      <c r="N23" s="89">
        <f>'Income Statement - Monthly'!O44</f>
        <v>853.16330654661112</v>
      </c>
      <c r="O23" s="18">
        <f>'Income Statement - Monthly'!P44</f>
        <v>769.91235771218123</v>
      </c>
      <c r="P23" s="18">
        <f>'Income Statement - Monthly'!Q44</f>
        <v>652.47022266361068</v>
      </c>
      <c r="Q23" s="18">
        <f>'Income Statement - Monthly'!R44</f>
        <v>545.23943613607673</v>
      </c>
      <c r="R23" s="18">
        <f>'Income Statement - Monthly'!S44</f>
        <v>447.68066174234576</v>
      </c>
      <c r="S23" s="18">
        <f>'Income Statement - Monthly'!T44</f>
        <v>361.71039536997523</v>
      </c>
      <c r="T23" s="18">
        <f>'Income Statement - Monthly'!U44</f>
        <v>287.12249502725007</v>
      </c>
      <c r="U23" s="18">
        <f>'Income Statement - Monthly'!V44</f>
        <v>223.67694995433985</v>
      </c>
      <c r="V23" s="18">
        <f>'Income Statement - Monthly'!W44</f>
        <v>3428.9664465304872</v>
      </c>
      <c r="W23" s="18">
        <f>'Income Statement - Monthly'!X44</f>
        <v>3321.7424903718002</v>
      </c>
      <c r="X23" s="18">
        <f>'Income Statement - Monthly'!Y44</f>
        <v>3224.8184498846217</v>
      </c>
      <c r="Y23" s="18">
        <f>'Income Statement - Monthly'!Z44</f>
        <v>3137.9222777632203</v>
      </c>
      <c r="Z23" s="18">
        <f>'Income Statement - Monthly'!AA44</f>
        <v>3058.7429094488739</v>
      </c>
      <c r="AA23" s="88">
        <f>'Income Statement - Monthly'!AB44</f>
        <v>2989.2326509047357</v>
      </c>
      <c r="AB23" s="18">
        <f>'Income Statement - Monthly'!AC44</f>
        <v>2790.3456766410932</v>
      </c>
      <c r="AC23" s="18">
        <f>'Income Statement - Monthly'!AD44</f>
        <v>2615.142888635954</v>
      </c>
      <c r="AD23" s="18">
        <f>'Income Statement - Monthly'!AE44</f>
        <v>2448.7038603590404</v>
      </c>
      <c r="AE23" s="18">
        <f>'Income Statement - Monthly'!AF44</f>
        <v>2288.6855591978388</v>
      </c>
      <c r="AF23" s="18">
        <f>'Income Statement - Monthly'!AG44</f>
        <v>2137.0374961528646</v>
      </c>
      <c r="AG23" s="18">
        <f>'Income Statement - Monthly'!AH44</f>
        <v>1993.7152292807816</v>
      </c>
      <c r="AH23" s="18">
        <f>'Income Statement - Monthly'!AI44</f>
        <v>1858.6120810794746</v>
      </c>
      <c r="AI23" s="18">
        <f>'Income Statement - Monthly'!AJ44</f>
        <v>1731.6214640426745</v>
      </c>
      <c r="AJ23" s="18">
        <f>'Income Statement - Monthly'!AK44</f>
        <v>1612.4385832736114</v>
      </c>
      <c r="AK23" s="18">
        <f>'Income Statement - Monthly'!AL44</f>
        <v>1498.9473142924719</v>
      </c>
      <c r="AL23" s="89">
        <f>'Income Statement - Monthly'!AM44</f>
        <v>1393.1383735164561</v>
      </c>
      <c r="AM23" s="18">
        <f>'Income Statement - Monthly'!AN44</f>
        <v>1294.9388859677181</v>
      </c>
      <c r="AN23" s="18">
        <f>'Income Statement - Monthly'!AO44</f>
        <v>1204.3422217994055</v>
      </c>
      <c r="AO23" s="18">
        <f>'Income Statement - Monthly'!AP44</f>
        <v>1121.2141028232325</v>
      </c>
      <c r="AP23" s="18">
        <f>'Income Statement - Monthly'!AQ44</f>
        <v>1045.4497335823232</v>
      </c>
      <c r="AQ23" s="18">
        <f>'Income Statement - Monthly'!AR44</f>
        <v>974.9764607196762</v>
      </c>
      <c r="AR23" s="18">
        <f>'Income Statement - Monthly'!AS44</f>
        <v>911.75894609861086</v>
      </c>
      <c r="AS23" s="18">
        <f>'Income Statement - Monthly'!AT44</f>
        <v>855.82686244535569</v>
      </c>
      <c r="AT23" s="18">
        <f>'Income Statement - Monthly'!AU44</f>
        <v>807.24768701112725</v>
      </c>
      <c r="AU23" s="18">
        <f>'Income Statement - Monthly'!AV44</f>
        <v>765.96191070315172</v>
      </c>
      <c r="AV23" s="18">
        <f>'Income Statement - Monthly'!AW44</f>
        <v>731.94020456206636</v>
      </c>
      <c r="AW23" s="18">
        <f>'Income Statement - Monthly'!AX44</f>
        <v>705.25361730879388</v>
      </c>
      <c r="AX23" s="18">
        <f>'Income Statement - Monthly'!AY44</f>
        <v>683.77901463895648</v>
      </c>
      <c r="AY23" s="88">
        <f>'Income Statement - Monthly'!AZ44</f>
        <v>669.68771169110778</v>
      </c>
      <c r="AZ23" s="18">
        <f>'Income Statement - Monthly'!BA44</f>
        <v>663.05991000279221</v>
      </c>
      <c r="BA23" s="18">
        <f>'Income Statement - Monthly'!BB44</f>
        <v>664.14285902642348</v>
      </c>
      <c r="BB23" s="18">
        <f>'Income Statement - Monthly'!BC44</f>
        <v>672.92988873511445</v>
      </c>
      <c r="BC23" s="18">
        <f>'Income Statement - Monthly'!BD44</f>
        <v>689.57388373288006</v>
      </c>
      <c r="BD23" s="18">
        <f>'Income Statement - Monthly'!BE44</f>
        <v>712.13381458588765</v>
      </c>
      <c r="BE23" s="18">
        <f>'Income Statement - Monthly'!BF44</f>
        <v>742.83627088340802</v>
      </c>
      <c r="BF23" s="18">
        <f>'Income Statement - Monthly'!BG44</f>
        <v>781.84704709758955</v>
      </c>
      <c r="BG23" s="18">
        <f>'Income Statement - Monthly'!BH44</f>
        <v>829.50031589980892</v>
      </c>
      <c r="BH23" s="18">
        <f>'Income Statement - Monthly'!BI44</f>
        <v>886.07608213207777</v>
      </c>
      <c r="BI23" s="18">
        <f>'Income Statement - Monthly'!BJ44</f>
        <v>951.85857970855341</v>
      </c>
      <c r="BJ23" s="89">
        <f>'Income Statement - Monthly'!BK44</f>
        <v>1024.9698827035911</v>
      </c>
    </row>
    <row r="24" spans="2:62" x14ac:dyDescent="0.2">
      <c r="B24" s="98" t="s">
        <v>192</v>
      </c>
      <c r="C24" s="322"/>
      <c r="D24" s="282"/>
      <c r="E24" s="282"/>
      <c r="F24" s="282"/>
      <c r="G24" s="18"/>
      <c r="H24" s="18"/>
      <c r="I24" s="18"/>
      <c r="J24" s="18"/>
      <c r="K24" s="18"/>
      <c r="L24" s="18"/>
      <c r="M24" s="18"/>
      <c r="N24" s="89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8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89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8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89"/>
    </row>
    <row r="25" spans="2:62" x14ac:dyDescent="0.2">
      <c r="B25" s="98" t="s">
        <v>193</v>
      </c>
      <c r="C25" s="279"/>
      <c r="D25" s="280"/>
      <c r="E25" s="280"/>
      <c r="F25" s="280"/>
      <c r="G25" s="20"/>
      <c r="H25" s="20"/>
      <c r="I25" s="20"/>
      <c r="J25" s="20"/>
      <c r="K25" s="20"/>
      <c r="L25" s="20"/>
      <c r="M25" s="20"/>
      <c r="N25" s="67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8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67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8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67"/>
    </row>
    <row r="26" spans="2:62" x14ac:dyDescent="0.2">
      <c r="B26" s="98"/>
      <c r="C26" s="279"/>
      <c r="D26" s="280"/>
      <c r="E26" s="280"/>
      <c r="F26" s="280"/>
      <c r="G26" s="20"/>
      <c r="H26" s="20"/>
      <c r="I26" s="20"/>
      <c r="J26" s="20"/>
      <c r="K26" s="20"/>
      <c r="L26" s="20"/>
      <c r="M26" s="20"/>
      <c r="N26" s="67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8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67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8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67"/>
    </row>
    <row r="27" spans="2:62" s="1" customFormat="1" x14ac:dyDescent="0.2">
      <c r="B27" s="105" t="s">
        <v>163</v>
      </c>
      <c r="C27" s="279">
        <f>C20+C22+C23+C24-C25</f>
        <v>-51866.166666666664</v>
      </c>
      <c r="D27" s="280">
        <f t="shared" ref="D27:BJ27" si="5">D20+D22+D23+D24-D25</f>
        <v>-23462.553888888888</v>
      </c>
      <c r="E27" s="280">
        <f t="shared" si="5"/>
        <v>484084.23759814817</v>
      </c>
      <c r="F27" s="280">
        <f t="shared" si="5"/>
        <v>-114.72170563035638</v>
      </c>
      <c r="G27" s="20">
        <f t="shared" si="5"/>
        <v>-19218.028005167042</v>
      </c>
      <c r="H27" s="20">
        <f t="shared" si="5"/>
        <v>-37000.635279198912</v>
      </c>
      <c r="I27" s="20">
        <f t="shared" si="5"/>
        <v>-44290.413369278373</v>
      </c>
      <c r="J27" s="20">
        <f t="shared" si="5"/>
        <v>-40207.706130790015</v>
      </c>
      <c r="K27" s="20">
        <f t="shared" si="5"/>
        <v>-36097.332512195804</v>
      </c>
      <c r="L27" s="20">
        <f t="shared" si="5"/>
        <v>-32077.925703750563</v>
      </c>
      <c r="M27" s="20">
        <f t="shared" si="5"/>
        <v>-28799.762372598267</v>
      </c>
      <c r="N27" s="67">
        <f t="shared" si="5"/>
        <v>-24975.284650328951</v>
      </c>
      <c r="O27" s="20">
        <f t="shared" si="5"/>
        <v>-35232.640514571161</v>
      </c>
      <c r="P27" s="20">
        <f t="shared" si="5"/>
        <v>-32169.235958260153</v>
      </c>
      <c r="Q27" s="20">
        <f t="shared" si="5"/>
        <v>-29267.6323181193</v>
      </c>
      <c r="R27" s="20">
        <f t="shared" si="5"/>
        <v>-25791.079911711156</v>
      </c>
      <c r="S27" s="20">
        <f t="shared" si="5"/>
        <v>-22376.370102817535</v>
      </c>
      <c r="T27" s="20">
        <f t="shared" si="5"/>
        <v>-19033.663521873073</v>
      </c>
      <c r="U27" s="20">
        <f t="shared" si="5"/>
        <v>961586.84897284419</v>
      </c>
      <c r="V27" s="20">
        <f t="shared" si="5"/>
        <v>-32167.186847606114</v>
      </c>
      <c r="W27" s="20">
        <f t="shared" si="5"/>
        <v>-29077.212146153506</v>
      </c>
      <c r="X27" s="20">
        <f t="shared" si="5"/>
        <v>-26068.851636420444</v>
      </c>
      <c r="Y27" s="20">
        <f t="shared" si="5"/>
        <v>-23753.810494303969</v>
      </c>
      <c r="Z27" s="20">
        <f t="shared" si="5"/>
        <v>-20853.077563241433</v>
      </c>
      <c r="AA27" s="80">
        <f t="shared" si="5"/>
        <v>-59666.092279092591</v>
      </c>
      <c r="AB27" s="20">
        <f t="shared" si="5"/>
        <v>-52560.836401541688</v>
      </c>
      <c r="AC27" s="20">
        <f t="shared" si="5"/>
        <v>-49931.708483074144</v>
      </c>
      <c r="AD27" s="20">
        <f t="shared" si="5"/>
        <v>-48005.49034836061</v>
      </c>
      <c r="AE27" s="20">
        <f t="shared" si="5"/>
        <v>-45494.418913492103</v>
      </c>
      <c r="AF27" s="20">
        <f t="shared" si="5"/>
        <v>-42996.680061625018</v>
      </c>
      <c r="AG27" s="20">
        <f t="shared" si="5"/>
        <v>-40530.944460392093</v>
      </c>
      <c r="AH27" s="20">
        <f t="shared" si="5"/>
        <v>-38097.185111039966</v>
      </c>
      <c r="AI27" s="20">
        <f t="shared" si="5"/>
        <v>-35754.864230719031</v>
      </c>
      <c r="AJ27" s="20">
        <f t="shared" si="5"/>
        <v>-34047.380694341737</v>
      </c>
      <c r="AK27" s="20">
        <f t="shared" si="5"/>
        <v>-31742.68223280484</v>
      </c>
      <c r="AL27" s="67">
        <f t="shared" si="5"/>
        <v>-29459.846264621345</v>
      </c>
      <c r="AM27" s="20">
        <f t="shared" si="5"/>
        <v>-27178.999250493853</v>
      </c>
      <c r="AN27" s="20">
        <f t="shared" si="5"/>
        <v>-24938.435692851828</v>
      </c>
      <c r="AO27" s="20">
        <f t="shared" si="5"/>
        <v>-22729.310772272784</v>
      </c>
      <c r="AP27" s="20">
        <f t="shared" si="5"/>
        <v>-21141.981858794145</v>
      </c>
      <c r="AQ27" s="20">
        <f t="shared" si="5"/>
        <v>-18965.254386319612</v>
      </c>
      <c r="AR27" s="20">
        <f t="shared" si="5"/>
        <v>-16779.625095976557</v>
      </c>
      <c r="AS27" s="20">
        <f t="shared" si="5"/>
        <v>-14573.752630268522</v>
      </c>
      <c r="AT27" s="20">
        <f t="shared" si="5"/>
        <v>-12385.732892392625</v>
      </c>
      <c r="AU27" s="20">
        <f t="shared" si="5"/>
        <v>-10206.51184232563</v>
      </c>
      <c r="AV27" s="20">
        <f t="shared" si="5"/>
        <v>-8005.9761759817484</v>
      </c>
      <c r="AW27" s="20">
        <f t="shared" si="5"/>
        <v>-6442.3808009512213</v>
      </c>
      <c r="AX27" s="20">
        <f t="shared" si="5"/>
        <v>-4227.3908843546124</v>
      </c>
      <c r="AY27" s="80">
        <f t="shared" si="5"/>
        <v>-1988.3405064946833</v>
      </c>
      <c r="AZ27" s="20">
        <f t="shared" si="5"/>
        <v>324.88470708941361</v>
      </c>
      <c r="BA27" s="20">
        <f t="shared" si="5"/>
        <v>2636.1089126072889</v>
      </c>
      <c r="BB27" s="20">
        <f t="shared" si="5"/>
        <v>4993.1984993296755</v>
      </c>
      <c r="BC27" s="20">
        <f t="shared" si="5"/>
        <v>6767.9792559022726</v>
      </c>
      <c r="BD27" s="20">
        <f t="shared" si="5"/>
        <v>9210.7368892561335</v>
      </c>
      <c r="BE27" s="20">
        <f t="shared" si="5"/>
        <v>11703.232864254465</v>
      </c>
      <c r="BF27" s="20">
        <f t="shared" si="5"/>
        <v>14295.980640665761</v>
      </c>
      <c r="BG27" s="20">
        <f t="shared" si="5"/>
        <v>16972.729869680676</v>
      </c>
      <c r="BH27" s="20">
        <f t="shared" si="5"/>
        <v>19734.749272942649</v>
      </c>
      <c r="BI27" s="20">
        <f t="shared" si="5"/>
        <v>21933.390898511279</v>
      </c>
      <c r="BJ27" s="67">
        <f t="shared" si="5"/>
        <v>24887.68005973773</v>
      </c>
    </row>
    <row r="28" spans="2:62" ht="17" thickBot="1" x14ac:dyDescent="0.25">
      <c r="B28" s="98"/>
      <c r="C28" s="281"/>
      <c r="D28" s="282"/>
      <c r="E28" s="282"/>
      <c r="F28" s="282"/>
      <c r="G28" s="18"/>
      <c r="H28" s="18"/>
      <c r="I28" s="18"/>
      <c r="J28" s="18"/>
      <c r="K28" s="18"/>
      <c r="L28" s="18"/>
      <c r="M28" s="18"/>
      <c r="N28" s="89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8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89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8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89"/>
    </row>
    <row r="29" spans="2:62" s="1" customFormat="1" ht="17" thickBot="1" x14ac:dyDescent="0.25">
      <c r="B29" s="100" t="s">
        <v>194</v>
      </c>
      <c r="C29" s="283">
        <f>C5+SUM(C20:C25)</f>
        <v>33133.833333333336</v>
      </c>
      <c r="D29" s="284">
        <f t="shared" ref="D29:AH29" si="6">D5+SUM(D20:D25)</f>
        <v>9671.279444444448</v>
      </c>
      <c r="E29" s="284">
        <f t="shared" si="6"/>
        <v>493755.51704259263</v>
      </c>
      <c r="F29" s="284">
        <f t="shared" si="6"/>
        <v>493640.79533696227</v>
      </c>
      <c r="G29" s="101">
        <f t="shared" si="6"/>
        <v>474422.76733179524</v>
      </c>
      <c r="H29" s="101">
        <f t="shared" si="6"/>
        <v>437422.13205259631</v>
      </c>
      <c r="I29" s="101">
        <f t="shared" si="6"/>
        <v>393131.71868331794</v>
      </c>
      <c r="J29" s="101">
        <f t="shared" si="6"/>
        <v>352924.01255252794</v>
      </c>
      <c r="K29" s="101">
        <f t="shared" si="6"/>
        <v>316826.68004033214</v>
      </c>
      <c r="L29" s="101">
        <f t="shared" si="6"/>
        <v>284748.75433658157</v>
      </c>
      <c r="M29" s="101">
        <f t="shared" si="6"/>
        <v>255948.99196398331</v>
      </c>
      <c r="N29" s="102">
        <f t="shared" si="6"/>
        <v>230973.70731365436</v>
      </c>
      <c r="O29" s="101">
        <f t="shared" si="6"/>
        <v>195741.0667990832</v>
      </c>
      <c r="P29" s="101">
        <f t="shared" si="6"/>
        <v>163571.83084082304</v>
      </c>
      <c r="Q29" s="101">
        <f t="shared" si="6"/>
        <v>134304.19852270372</v>
      </c>
      <c r="R29" s="101">
        <f t="shared" si="6"/>
        <v>108513.11861099256</v>
      </c>
      <c r="S29" s="101">
        <f t="shared" si="6"/>
        <v>86136.74850817502</v>
      </c>
      <c r="T29" s="101">
        <f t="shared" si="6"/>
        <v>67103.084986301954</v>
      </c>
      <c r="U29" s="101">
        <f t="shared" si="6"/>
        <v>1028689.9339591461</v>
      </c>
      <c r="V29" s="101">
        <f t="shared" si="6"/>
        <v>996522.74711154005</v>
      </c>
      <c r="W29" s="101">
        <f t="shared" si="6"/>
        <v>967445.5349653865</v>
      </c>
      <c r="X29" s="101">
        <f t="shared" si="6"/>
        <v>941376.68332896603</v>
      </c>
      <c r="Y29" s="101">
        <f t="shared" si="6"/>
        <v>917622.87283466209</v>
      </c>
      <c r="Z29" s="101">
        <f t="shared" si="6"/>
        <v>896769.79527142062</v>
      </c>
      <c r="AA29" s="103">
        <f t="shared" si="6"/>
        <v>837103.70299232798</v>
      </c>
      <c r="AB29" s="101">
        <f t="shared" si="6"/>
        <v>784542.86659078626</v>
      </c>
      <c r="AC29" s="101">
        <f t="shared" si="6"/>
        <v>734611.15810771217</v>
      </c>
      <c r="AD29" s="101">
        <f t="shared" si="6"/>
        <v>686605.66775935155</v>
      </c>
      <c r="AE29" s="101">
        <f t="shared" si="6"/>
        <v>641111.24884585943</v>
      </c>
      <c r="AF29" s="101">
        <f t="shared" si="6"/>
        <v>598114.56878423446</v>
      </c>
      <c r="AG29" s="101">
        <f t="shared" si="6"/>
        <v>557583.62432384235</v>
      </c>
      <c r="AH29" s="101">
        <f t="shared" si="6"/>
        <v>519486.43921280239</v>
      </c>
      <c r="AI29" s="101">
        <f t="shared" ref="AI29:BJ29" si="7">AI5+SUM(AI20:AI25)</f>
        <v>483731.57498208334</v>
      </c>
      <c r="AJ29" s="101">
        <f t="shared" si="7"/>
        <v>449684.19428774161</v>
      </c>
      <c r="AK29" s="101">
        <f t="shared" si="7"/>
        <v>417941.51205493679</v>
      </c>
      <c r="AL29" s="102">
        <f t="shared" si="7"/>
        <v>388481.66579031543</v>
      </c>
      <c r="AM29" s="101">
        <f t="shared" si="7"/>
        <v>361302.6665398216</v>
      </c>
      <c r="AN29" s="101">
        <f t="shared" si="7"/>
        <v>336364.23084696976</v>
      </c>
      <c r="AO29" s="101">
        <f t="shared" si="7"/>
        <v>313634.920074697</v>
      </c>
      <c r="AP29" s="101">
        <f t="shared" si="7"/>
        <v>292492.93821590283</v>
      </c>
      <c r="AQ29" s="101">
        <f t="shared" si="7"/>
        <v>273527.68382958323</v>
      </c>
      <c r="AR29" s="101">
        <f t="shared" si="7"/>
        <v>256748.05873360668</v>
      </c>
      <c r="AS29" s="101">
        <f t="shared" si="7"/>
        <v>242174.30610333817</v>
      </c>
      <c r="AT29" s="101">
        <f t="shared" si="7"/>
        <v>229788.57321094553</v>
      </c>
      <c r="AU29" s="101">
        <f t="shared" si="7"/>
        <v>219582.06136861991</v>
      </c>
      <c r="AV29" s="101">
        <f t="shared" si="7"/>
        <v>211576.08519263816</v>
      </c>
      <c r="AW29" s="101">
        <f t="shared" si="7"/>
        <v>205133.70439168694</v>
      </c>
      <c r="AX29" s="101">
        <f t="shared" si="7"/>
        <v>200906.31350733232</v>
      </c>
      <c r="AY29" s="103">
        <f t="shared" si="7"/>
        <v>198917.97300083764</v>
      </c>
      <c r="AZ29" s="101">
        <f t="shared" si="7"/>
        <v>199242.85770792706</v>
      </c>
      <c r="BA29" s="101">
        <f t="shared" si="7"/>
        <v>201878.96662053434</v>
      </c>
      <c r="BB29" s="101">
        <f t="shared" si="7"/>
        <v>206872.16511986402</v>
      </c>
      <c r="BC29" s="101">
        <f t="shared" si="7"/>
        <v>213640.14437576628</v>
      </c>
      <c r="BD29" s="101">
        <f t="shared" si="7"/>
        <v>222850.88126502241</v>
      </c>
      <c r="BE29" s="101">
        <f t="shared" si="7"/>
        <v>234554.11412927689</v>
      </c>
      <c r="BF29" s="101">
        <f t="shared" si="7"/>
        <v>248850.09476994266</v>
      </c>
      <c r="BG29" s="101">
        <f t="shared" si="7"/>
        <v>265822.82463962334</v>
      </c>
      <c r="BH29" s="101">
        <f t="shared" si="7"/>
        <v>285557.573912566</v>
      </c>
      <c r="BI29" s="101">
        <f t="shared" si="7"/>
        <v>307490.96481107728</v>
      </c>
      <c r="BJ29" s="102">
        <f t="shared" si="7"/>
        <v>332378.64487081498</v>
      </c>
    </row>
    <row r="35" spans="4:4" x14ac:dyDescent="0.2">
      <c r="D35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807B-BEEA-AF4A-8B3F-B29661B80278}">
  <dimension ref="B2:BJ41"/>
  <sheetViews>
    <sheetView zoomScale="180" zoomScaleNormal="180" workbookViewId="0">
      <pane xSplit="2" ySplit="4" topLeftCell="C5" activePane="bottomRight" state="frozen"/>
      <selection activeCell="G10" sqref="G10"/>
      <selection pane="topRight" activeCell="G10" sqref="G10"/>
      <selection pane="bottomLeft" activeCell="G10" sqref="G10"/>
      <selection pane="bottomRight" activeCell="G10" sqref="G10"/>
    </sheetView>
    <sheetView workbookViewId="1"/>
  </sheetViews>
  <sheetFormatPr baseColWidth="10" defaultRowHeight="16" x14ac:dyDescent="0.2"/>
  <cols>
    <col min="1" max="1" width="6.6640625" customWidth="1"/>
    <col min="2" max="2" width="24.83203125" bestFit="1" customWidth="1"/>
    <col min="3" max="4" width="12.5" customWidth="1"/>
    <col min="5" max="5" width="12.83203125" customWidth="1"/>
    <col min="6" max="62" width="12.5" customWidth="1"/>
  </cols>
  <sheetData>
    <row r="2" spans="2:62" ht="20" customHeight="1" x14ac:dyDescent="0.25">
      <c r="B2" s="35" t="s">
        <v>216</v>
      </c>
    </row>
    <row r="3" spans="2:62" ht="17" thickBot="1" x14ac:dyDescent="0.25"/>
    <row r="4" spans="2:62" ht="17" thickBot="1" x14ac:dyDescent="0.25">
      <c r="B4" s="75"/>
      <c r="C4" s="264">
        <f>'Kiosk P&amp;L'!D4</f>
        <v>45292</v>
      </c>
      <c r="D4" s="265">
        <f>'Kiosk P&amp;L'!E4</f>
        <v>45323</v>
      </c>
      <c r="E4" s="265">
        <f>'Kiosk P&amp;L'!F4</f>
        <v>45352</v>
      </c>
      <c r="F4" s="265">
        <f>'Kiosk P&amp;L'!G4</f>
        <v>45383</v>
      </c>
      <c r="G4" s="60">
        <f>'Kiosk P&amp;L'!H4</f>
        <v>45413</v>
      </c>
      <c r="H4" s="60">
        <f>'Kiosk P&amp;L'!I4</f>
        <v>45444</v>
      </c>
      <c r="I4" s="60">
        <f>'Kiosk P&amp;L'!J4</f>
        <v>45474</v>
      </c>
      <c r="J4" s="60">
        <f>'Kiosk P&amp;L'!K4</f>
        <v>45505</v>
      </c>
      <c r="K4" s="60">
        <f>'Kiosk P&amp;L'!L4</f>
        <v>45536</v>
      </c>
      <c r="L4" s="60">
        <f>'Kiosk P&amp;L'!M4</f>
        <v>45566</v>
      </c>
      <c r="M4" s="60">
        <f>'Kiosk P&amp;L'!N4</f>
        <v>45597</v>
      </c>
      <c r="N4" s="61">
        <f>'Kiosk P&amp;L'!O4</f>
        <v>45627</v>
      </c>
      <c r="O4" s="60">
        <f>'Kiosk P&amp;L'!P4</f>
        <v>45658</v>
      </c>
      <c r="P4" s="60">
        <f>'Kiosk P&amp;L'!Q4</f>
        <v>45689</v>
      </c>
      <c r="Q4" s="60">
        <f>'Kiosk P&amp;L'!R4</f>
        <v>45717</v>
      </c>
      <c r="R4" s="60">
        <f>'Kiosk P&amp;L'!S4</f>
        <v>45748</v>
      </c>
      <c r="S4" s="60">
        <f>'Kiosk P&amp;L'!T4</f>
        <v>45778</v>
      </c>
      <c r="T4" s="60">
        <f>'Kiosk P&amp;L'!U4</f>
        <v>45809</v>
      </c>
      <c r="U4" s="60">
        <f>'Kiosk P&amp;L'!V4</f>
        <v>45839</v>
      </c>
      <c r="V4" s="60">
        <f>'Kiosk P&amp;L'!W4</f>
        <v>45870</v>
      </c>
      <c r="W4" s="60">
        <f>'Kiosk P&amp;L'!X4</f>
        <v>45901</v>
      </c>
      <c r="X4" s="60">
        <f>'Kiosk P&amp;L'!Y4</f>
        <v>45931</v>
      </c>
      <c r="Y4" s="60">
        <f>'Kiosk P&amp;L'!Z4</f>
        <v>45962</v>
      </c>
      <c r="Z4" s="60">
        <f>'Kiosk P&amp;L'!AA4</f>
        <v>45992</v>
      </c>
      <c r="AA4" s="78">
        <f>'Kiosk P&amp;L'!AB4</f>
        <v>46023</v>
      </c>
      <c r="AB4" s="60">
        <f>'Kiosk P&amp;L'!AC4</f>
        <v>46054</v>
      </c>
      <c r="AC4" s="60">
        <f>'Kiosk P&amp;L'!AD4</f>
        <v>46082</v>
      </c>
      <c r="AD4" s="60">
        <f>'Kiosk P&amp;L'!AE4</f>
        <v>46113</v>
      </c>
      <c r="AE4" s="60">
        <f>'Kiosk P&amp;L'!AF4</f>
        <v>46143</v>
      </c>
      <c r="AF4" s="60">
        <f>'Kiosk P&amp;L'!AG4</f>
        <v>46174</v>
      </c>
      <c r="AG4" s="60">
        <f>'Kiosk P&amp;L'!AH4</f>
        <v>46204</v>
      </c>
      <c r="AH4" s="60">
        <f>'Kiosk P&amp;L'!AI4</f>
        <v>46235</v>
      </c>
      <c r="AI4" s="60">
        <f>'Kiosk P&amp;L'!AJ4</f>
        <v>46266</v>
      </c>
      <c r="AJ4" s="60">
        <f>'Kiosk P&amp;L'!AK4</f>
        <v>46296</v>
      </c>
      <c r="AK4" s="60">
        <f>'Kiosk P&amp;L'!AL4</f>
        <v>46327</v>
      </c>
      <c r="AL4" s="61">
        <f>'Kiosk P&amp;L'!AM4</f>
        <v>46357</v>
      </c>
      <c r="AM4" s="60">
        <f>'Kiosk P&amp;L'!AN4</f>
        <v>46388</v>
      </c>
      <c r="AN4" s="60">
        <f>'Kiosk P&amp;L'!AO4</f>
        <v>46419</v>
      </c>
      <c r="AO4" s="60">
        <f>'Kiosk P&amp;L'!AP4</f>
        <v>46447</v>
      </c>
      <c r="AP4" s="60">
        <f>'Kiosk P&amp;L'!AQ4</f>
        <v>46478</v>
      </c>
      <c r="AQ4" s="60">
        <f>'Kiosk P&amp;L'!AR4</f>
        <v>46508</v>
      </c>
      <c r="AR4" s="60">
        <f>'Kiosk P&amp;L'!AS4</f>
        <v>46539</v>
      </c>
      <c r="AS4" s="60">
        <f>'Kiosk P&amp;L'!AT4</f>
        <v>46569</v>
      </c>
      <c r="AT4" s="60">
        <f>'Kiosk P&amp;L'!AU4</f>
        <v>46600</v>
      </c>
      <c r="AU4" s="60">
        <f>'Kiosk P&amp;L'!AV4</f>
        <v>46631</v>
      </c>
      <c r="AV4" s="60">
        <f>'Kiosk P&amp;L'!AW4</f>
        <v>46661</v>
      </c>
      <c r="AW4" s="60">
        <f>'Kiosk P&amp;L'!AX4</f>
        <v>46692</v>
      </c>
      <c r="AX4" s="78">
        <f>'Kiosk P&amp;L'!AY4</f>
        <v>46722</v>
      </c>
      <c r="AY4" s="60">
        <f>'Kiosk P&amp;L'!AZ4</f>
        <v>46753</v>
      </c>
      <c r="AZ4" s="60">
        <f>'Kiosk P&amp;L'!BA4</f>
        <v>46784</v>
      </c>
      <c r="BA4" s="60">
        <f>'Kiosk P&amp;L'!BB4</f>
        <v>46813</v>
      </c>
      <c r="BB4" s="60">
        <f>'Kiosk P&amp;L'!BC4</f>
        <v>46844</v>
      </c>
      <c r="BC4" s="60">
        <f>'Kiosk P&amp;L'!BD4</f>
        <v>46874</v>
      </c>
      <c r="BD4" s="60">
        <f>'Kiosk P&amp;L'!BE4</f>
        <v>46905</v>
      </c>
      <c r="BE4" s="60">
        <f>'Kiosk P&amp;L'!BF4</f>
        <v>46935</v>
      </c>
      <c r="BF4" s="60">
        <f>'Kiosk P&amp;L'!BG4</f>
        <v>46966</v>
      </c>
      <c r="BG4" s="60">
        <f>'Kiosk P&amp;L'!BH4</f>
        <v>46997</v>
      </c>
      <c r="BH4" s="60">
        <f>'Kiosk P&amp;L'!BI4</f>
        <v>47027</v>
      </c>
      <c r="BI4" s="60">
        <f>'Kiosk P&amp;L'!BJ4</f>
        <v>47058</v>
      </c>
      <c r="BJ4" s="61">
        <f>'Kiosk P&amp;L'!BK4</f>
        <v>47088</v>
      </c>
    </row>
    <row r="5" spans="2:62" x14ac:dyDescent="0.2">
      <c r="B5" s="2" t="s">
        <v>127</v>
      </c>
      <c r="C5" s="365"/>
      <c r="D5" s="366"/>
      <c r="E5" s="366"/>
      <c r="F5" s="366"/>
      <c r="G5" s="65"/>
      <c r="H5" s="65"/>
      <c r="I5" s="65"/>
      <c r="J5" s="65"/>
      <c r="K5" s="65"/>
      <c r="L5" s="65"/>
      <c r="M5" s="65"/>
      <c r="N5" s="141"/>
      <c r="AA5" s="2"/>
      <c r="AL5" s="3"/>
      <c r="AX5" s="2"/>
      <c r="BJ5" s="3"/>
    </row>
    <row r="6" spans="2:62" x14ac:dyDescent="0.2">
      <c r="B6" s="98" t="s">
        <v>128</v>
      </c>
      <c r="C6" s="268">
        <f>'Cash Flow - Monthly'!C29</f>
        <v>33133.833333333336</v>
      </c>
      <c r="D6" s="269">
        <f>'Cash Flow - Monthly'!D29</f>
        <v>9671.279444444448</v>
      </c>
      <c r="E6" s="269">
        <f>'Cash Flow - Monthly'!E29</f>
        <v>493755.51704259263</v>
      </c>
      <c r="F6" s="269">
        <f>'Cash Flow - Monthly'!F29</f>
        <v>493640.79533696227</v>
      </c>
      <c r="G6" s="122">
        <f>'Cash Flow - Monthly'!G29</f>
        <v>474422.76733179524</v>
      </c>
      <c r="H6" s="122">
        <f>'Cash Flow - Monthly'!H29</f>
        <v>437422.13205259631</v>
      </c>
      <c r="I6" s="122">
        <f>'Cash Flow - Monthly'!I29</f>
        <v>393131.71868331794</v>
      </c>
      <c r="J6" s="122">
        <f>'Cash Flow - Monthly'!J29</f>
        <v>352924.01255252794</v>
      </c>
      <c r="K6" s="122">
        <f>'Cash Flow - Monthly'!K29</f>
        <v>316826.68004033214</v>
      </c>
      <c r="L6" s="122">
        <f>'Cash Flow - Monthly'!L29</f>
        <v>284748.75433658157</v>
      </c>
      <c r="M6" s="122">
        <f>'Cash Flow - Monthly'!M29</f>
        <v>255948.99196398331</v>
      </c>
      <c r="N6" s="123">
        <f>'Cash Flow - Monthly'!N29</f>
        <v>230973.70731365436</v>
      </c>
      <c r="O6" s="122">
        <f>'Cash Flow - Monthly'!O29</f>
        <v>195741.0667990832</v>
      </c>
      <c r="P6" s="122">
        <f>'Cash Flow - Monthly'!P29</f>
        <v>163571.83084082304</v>
      </c>
      <c r="Q6" s="122">
        <f>'Cash Flow - Monthly'!Q29</f>
        <v>134304.19852270372</v>
      </c>
      <c r="R6" s="122">
        <f>'Cash Flow - Monthly'!R29</f>
        <v>108513.11861099256</v>
      </c>
      <c r="S6" s="122">
        <f>'Cash Flow - Monthly'!S29</f>
        <v>86136.74850817502</v>
      </c>
      <c r="T6" s="122">
        <f>'Cash Flow - Monthly'!T29</f>
        <v>67103.084986301954</v>
      </c>
      <c r="U6" s="122">
        <f>'Cash Flow - Monthly'!U29</f>
        <v>1028689.9339591461</v>
      </c>
      <c r="V6" s="122">
        <f>'Cash Flow - Monthly'!V29</f>
        <v>996522.74711154005</v>
      </c>
      <c r="W6" s="122">
        <f>'Cash Flow - Monthly'!W29</f>
        <v>967445.5349653865</v>
      </c>
      <c r="X6" s="122">
        <f>'Cash Flow - Monthly'!X29</f>
        <v>941376.68332896603</v>
      </c>
      <c r="Y6" s="122">
        <f>'Cash Flow - Monthly'!Y29</f>
        <v>917622.87283466209</v>
      </c>
      <c r="Z6" s="122">
        <f>'Cash Flow - Monthly'!Z29</f>
        <v>896769.79527142062</v>
      </c>
      <c r="AA6" s="127">
        <f>'Cash Flow - Monthly'!AA29</f>
        <v>837103.70299232798</v>
      </c>
      <c r="AB6" s="122">
        <f>'Cash Flow - Monthly'!AB29</f>
        <v>784542.86659078626</v>
      </c>
      <c r="AC6" s="122">
        <f>'Cash Flow - Monthly'!AC29</f>
        <v>734611.15810771217</v>
      </c>
      <c r="AD6" s="122">
        <f>'Cash Flow - Monthly'!AD29</f>
        <v>686605.66775935155</v>
      </c>
      <c r="AE6" s="122">
        <f>'Cash Flow - Monthly'!AE29</f>
        <v>641111.24884585943</v>
      </c>
      <c r="AF6" s="122">
        <f>'Cash Flow - Monthly'!AF29</f>
        <v>598114.56878423446</v>
      </c>
      <c r="AG6" s="122">
        <f>'Cash Flow - Monthly'!AG29</f>
        <v>557583.62432384235</v>
      </c>
      <c r="AH6" s="122">
        <f>'Cash Flow - Monthly'!AH29</f>
        <v>519486.43921280239</v>
      </c>
      <c r="AI6" s="122">
        <f>'Cash Flow - Monthly'!AI29</f>
        <v>483731.57498208334</v>
      </c>
      <c r="AJ6" s="122">
        <f>'Cash Flow - Monthly'!AJ29</f>
        <v>449684.19428774161</v>
      </c>
      <c r="AK6" s="122">
        <f>'Cash Flow - Monthly'!AK29</f>
        <v>417941.51205493679</v>
      </c>
      <c r="AL6" s="123">
        <f>'Cash Flow - Monthly'!AL29</f>
        <v>388481.66579031543</v>
      </c>
      <c r="AM6" s="122">
        <f>'Cash Flow - Monthly'!AM29</f>
        <v>361302.6665398216</v>
      </c>
      <c r="AN6" s="122">
        <f>'Cash Flow - Monthly'!AN29</f>
        <v>336364.23084696976</v>
      </c>
      <c r="AO6" s="122">
        <f>'Cash Flow - Monthly'!AO29</f>
        <v>313634.920074697</v>
      </c>
      <c r="AP6" s="122">
        <f>'Cash Flow - Monthly'!AP29</f>
        <v>292492.93821590283</v>
      </c>
      <c r="AQ6" s="122">
        <f>'Cash Flow - Monthly'!AQ29</f>
        <v>273527.68382958323</v>
      </c>
      <c r="AR6" s="122">
        <f>'Cash Flow - Monthly'!AR29</f>
        <v>256748.05873360668</v>
      </c>
      <c r="AS6" s="122">
        <f>'Cash Flow - Monthly'!AS29</f>
        <v>242174.30610333817</v>
      </c>
      <c r="AT6" s="122">
        <f>'Cash Flow - Monthly'!AT29</f>
        <v>229788.57321094553</v>
      </c>
      <c r="AU6" s="122">
        <f>'Cash Flow - Monthly'!AU29</f>
        <v>219582.06136861991</v>
      </c>
      <c r="AV6" s="122">
        <f>'Cash Flow - Monthly'!AV29</f>
        <v>211576.08519263816</v>
      </c>
      <c r="AW6" s="122">
        <f>'Cash Flow - Monthly'!AW29</f>
        <v>205133.70439168694</v>
      </c>
      <c r="AX6" s="127">
        <f>'Cash Flow - Monthly'!AX29</f>
        <v>200906.31350733232</v>
      </c>
      <c r="AY6" s="122">
        <f>'Cash Flow - Monthly'!AY29</f>
        <v>198917.97300083764</v>
      </c>
      <c r="AZ6" s="122">
        <f>'Cash Flow - Monthly'!AZ29</f>
        <v>199242.85770792706</v>
      </c>
      <c r="BA6" s="122">
        <f>'Cash Flow - Monthly'!BA29</f>
        <v>201878.96662053434</v>
      </c>
      <c r="BB6" s="122">
        <f>'Cash Flow - Monthly'!BB29</f>
        <v>206872.16511986402</v>
      </c>
      <c r="BC6" s="122">
        <f>'Cash Flow - Monthly'!BC29</f>
        <v>213640.14437576628</v>
      </c>
      <c r="BD6" s="122">
        <f>'Cash Flow - Monthly'!BD29</f>
        <v>222850.88126502241</v>
      </c>
      <c r="BE6" s="122">
        <f>'Cash Flow - Monthly'!BE29</f>
        <v>234554.11412927689</v>
      </c>
      <c r="BF6" s="122">
        <f>'Cash Flow - Monthly'!BF29</f>
        <v>248850.09476994266</v>
      </c>
      <c r="BG6" s="122">
        <f>'Cash Flow - Monthly'!BG29</f>
        <v>265822.82463962334</v>
      </c>
      <c r="BH6" s="122">
        <f>'Cash Flow - Monthly'!BH29</f>
        <v>285557.573912566</v>
      </c>
      <c r="BI6" s="122">
        <f>'Cash Flow - Monthly'!BI29</f>
        <v>307490.96481107728</v>
      </c>
      <c r="BJ6" s="123">
        <f>'Cash Flow - Monthly'!BJ29</f>
        <v>332378.64487081498</v>
      </c>
    </row>
    <row r="7" spans="2:62" x14ac:dyDescent="0.2">
      <c r="B7" s="98" t="s">
        <v>123</v>
      </c>
      <c r="C7" s="268">
        <f>'Income Statement - Monthly'!D10*ARDaysOutstanding/30</f>
        <v>0</v>
      </c>
      <c r="D7" s="269">
        <f>'Income Statement - Monthly'!E10*ARDaysOutstanding/30</f>
        <v>0</v>
      </c>
      <c r="E7" s="269">
        <f>'Income Statement - Monthly'!F10*ARDaysOutstanding/30</f>
        <v>0</v>
      </c>
      <c r="F7" s="269">
        <f>'Income Statement - Monthly'!G10*ARDaysOutstanding/30</f>
        <v>0</v>
      </c>
      <c r="G7" s="122">
        <f>'Income Statement - Monthly'!H10*ARDaysOutstanding/30</f>
        <v>0</v>
      </c>
      <c r="H7" s="122">
        <f>'Income Statement - Monthly'!I10*ARDaysOutstanding/30</f>
        <v>0</v>
      </c>
      <c r="I7" s="122">
        <f>'Income Statement - Monthly'!J10*ARDaysOutstanding/30</f>
        <v>0</v>
      </c>
      <c r="J7" s="122">
        <f>'Income Statement - Monthly'!K10*ARDaysOutstanding/30</f>
        <v>0</v>
      </c>
      <c r="K7" s="122">
        <f>'Income Statement - Monthly'!L10*ARDaysOutstanding/30</f>
        <v>0</v>
      </c>
      <c r="L7" s="122">
        <f>'Income Statement - Monthly'!M10*ARDaysOutstanding/30</f>
        <v>0</v>
      </c>
      <c r="M7" s="122">
        <f>'Income Statement - Monthly'!N10*ARDaysOutstanding/30</f>
        <v>0</v>
      </c>
      <c r="N7" s="123">
        <f>'Income Statement - Monthly'!O10*ARDaysOutstanding/30</f>
        <v>0</v>
      </c>
      <c r="O7" s="122">
        <f>'Income Statement - Monthly'!P10*ARDaysOutstanding/30</f>
        <v>0</v>
      </c>
      <c r="P7" s="122">
        <f>'Income Statement - Monthly'!Q10*ARDaysOutstanding/30</f>
        <v>0</v>
      </c>
      <c r="Q7" s="122">
        <f>'Income Statement - Monthly'!R10*ARDaysOutstanding/30</f>
        <v>0</v>
      </c>
      <c r="R7" s="122">
        <f>'Income Statement - Monthly'!S10*ARDaysOutstanding/30</f>
        <v>0</v>
      </c>
      <c r="S7" s="122">
        <f>'Income Statement - Monthly'!T10*ARDaysOutstanding/30</f>
        <v>0</v>
      </c>
      <c r="T7" s="122">
        <f>'Income Statement - Monthly'!U10*ARDaysOutstanding/30</f>
        <v>0</v>
      </c>
      <c r="U7" s="122">
        <f>'Income Statement - Monthly'!V10*ARDaysOutstanding/30</f>
        <v>0</v>
      </c>
      <c r="V7" s="122">
        <f>'Income Statement - Monthly'!W10*ARDaysOutstanding/30</f>
        <v>0</v>
      </c>
      <c r="W7" s="122">
        <f>'Income Statement - Monthly'!X10*ARDaysOutstanding/30</f>
        <v>0</v>
      </c>
      <c r="X7" s="122">
        <f>'Income Statement - Monthly'!Y10*ARDaysOutstanding/30</f>
        <v>0</v>
      </c>
      <c r="Y7" s="122">
        <f>'Income Statement - Monthly'!Z10*ARDaysOutstanding/30</f>
        <v>0</v>
      </c>
      <c r="Z7" s="122">
        <f>'Income Statement - Monthly'!AA10*ARDaysOutstanding/30</f>
        <v>0</v>
      </c>
      <c r="AA7" s="127">
        <f>'Income Statement - Monthly'!AB10*ARDaysOutstanding/30</f>
        <v>0</v>
      </c>
      <c r="AB7" s="122">
        <f>'Income Statement - Monthly'!AC10*ARDaysOutstanding/30</f>
        <v>0</v>
      </c>
      <c r="AC7" s="122">
        <f>'Income Statement - Monthly'!AD10*ARDaysOutstanding/30</f>
        <v>0</v>
      </c>
      <c r="AD7" s="122">
        <f>'Income Statement - Monthly'!AE10*ARDaysOutstanding/30</f>
        <v>0</v>
      </c>
      <c r="AE7" s="122">
        <f>'Income Statement - Monthly'!AF10*ARDaysOutstanding/30</f>
        <v>0</v>
      </c>
      <c r="AF7" s="122">
        <f>'Income Statement - Monthly'!AG10*ARDaysOutstanding/30</f>
        <v>0</v>
      </c>
      <c r="AG7" s="122">
        <f>'Income Statement - Monthly'!AH10*ARDaysOutstanding/30</f>
        <v>0</v>
      </c>
      <c r="AH7" s="122">
        <f>'Income Statement - Monthly'!AI10*ARDaysOutstanding/30</f>
        <v>0</v>
      </c>
      <c r="AI7" s="122">
        <f>'Income Statement - Monthly'!AJ10*ARDaysOutstanding/30</f>
        <v>0</v>
      </c>
      <c r="AJ7" s="122">
        <f>'Income Statement - Monthly'!AK10*ARDaysOutstanding/30</f>
        <v>0</v>
      </c>
      <c r="AK7" s="122">
        <f>'Income Statement - Monthly'!AL10*ARDaysOutstanding/30</f>
        <v>0</v>
      </c>
      <c r="AL7" s="123">
        <f>'Income Statement - Monthly'!AM10*ARDaysOutstanding/30</f>
        <v>0</v>
      </c>
      <c r="AM7" s="122">
        <f>'Income Statement - Monthly'!AN10*ARDaysOutstanding/30</f>
        <v>0</v>
      </c>
      <c r="AN7" s="122">
        <f>'Income Statement - Monthly'!AO10*ARDaysOutstanding/30</f>
        <v>0</v>
      </c>
      <c r="AO7" s="122">
        <f>'Income Statement - Monthly'!AP10*ARDaysOutstanding/30</f>
        <v>0</v>
      </c>
      <c r="AP7" s="122">
        <f>'Income Statement - Monthly'!AQ10*ARDaysOutstanding/30</f>
        <v>0</v>
      </c>
      <c r="AQ7" s="122">
        <f>'Income Statement - Monthly'!AR10*ARDaysOutstanding/30</f>
        <v>0</v>
      </c>
      <c r="AR7" s="122">
        <f>'Income Statement - Monthly'!AS10*ARDaysOutstanding/30</f>
        <v>0</v>
      </c>
      <c r="AS7" s="122">
        <f>'Income Statement - Monthly'!AT10*ARDaysOutstanding/30</f>
        <v>0</v>
      </c>
      <c r="AT7" s="122">
        <f>'Income Statement - Monthly'!AU10*ARDaysOutstanding/30</f>
        <v>0</v>
      </c>
      <c r="AU7" s="122">
        <f>'Income Statement - Monthly'!AV10*ARDaysOutstanding/30</f>
        <v>0</v>
      </c>
      <c r="AV7" s="122">
        <f>'Income Statement - Monthly'!AW10*ARDaysOutstanding/30</f>
        <v>0</v>
      </c>
      <c r="AW7" s="122">
        <f>'Income Statement - Monthly'!AX10*ARDaysOutstanding/30</f>
        <v>0</v>
      </c>
      <c r="AX7" s="127">
        <f>'Income Statement - Monthly'!AY10*ARDaysOutstanding/30</f>
        <v>0</v>
      </c>
      <c r="AY7" s="122">
        <f>'Income Statement - Monthly'!AZ10*ARDaysOutstanding/30</f>
        <v>0</v>
      </c>
      <c r="AZ7" s="122">
        <f>'Income Statement - Monthly'!BA10*ARDaysOutstanding/30</f>
        <v>0</v>
      </c>
      <c r="BA7" s="122">
        <f>'Income Statement - Monthly'!BB10*ARDaysOutstanding/30</f>
        <v>0</v>
      </c>
      <c r="BB7" s="122">
        <f>'Income Statement - Monthly'!BC10*ARDaysOutstanding/30</f>
        <v>0</v>
      </c>
      <c r="BC7" s="122">
        <f>'Income Statement - Monthly'!BD10*ARDaysOutstanding/30</f>
        <v>0</v>
      </c>
      <c r="BD7" s="122">
        <f>'Income Statement - Monthly'!BE10*ARDaysOutstanding/30</f>
        <v>0</v>
      </c>
      <c r="BE7" s="122">
        <f>'Income Statement - Monthly'!BF10*ARDaysOutstanding/30</f>
        <v>0</v>
      </c>
      <c r="BF7" s="122">
        <f>'Income Statement - Monthly'!BG10*ARDaysOutstanding/30</f>
        <v>0</v>
      </c>
      <c r="BG7" s="122">
        <f>'Income Statement - Monthly'!BH10*ARDaysOutstanding/30</f>
        <v>0</v>
      </c>
      <c r="BH7" s="122">
        <f>'Income Statement - Monthly'!BI10*ARDaysOutstanding/30</f>
        <v>0</v>
      </c>
      <c r="BI7" s="122">
        <f>'Income Statement - Monthly'!BJ10*ARDaysOutstanding/30</f>
        <v>0</v>
      </c>
      <c r="BJ7" s="123">
        <f>'Income Statement - Monthly'!BK10*ARDaysOutstanding/30</f>
        <v>0</v>
      </c>
    </row>
    <row r="8" spans="2:62" x14ac:dyDescent="0.2">
      <c r="B8" s="98" t="s">
        <v>124</v>
      </c>
      <c r="C8" s="268">
        <f>SUM('Income Statement - Monthly'!D13:D15)*DaysInventoryOnHand/30</f>
        <v>3617</v>
      </c>
      <c r="D8" s="269">
        <f>SUM('Income Statement - Monthly'!E13:E15)*DaysInventoryOnHand/30</f>
        <v>3781.5</v>
      </c>
      <c r="E8" s="269">
        <f>SUM('Income Statement - Monthly'!F13:F15)*DaysInventoryOnHand/30</f>
        <v>4115.5</v>
      </c>
      <c r="F8" s="269">
        <f>SUM('Income Statement - Monthly'!G13:G15)*DaysInventoryOnHand/30</f>
        <v>6066.338999999999</v>
      </c>
      <c r="G8" s="122">
        <f>SUM('Income Statement - Monthly'!H13:H15)*DaysInventoryOnHand/30</f>
        <v>7612.7212083213253</v>
      </c>
      <c r="H8" s="122">
        <f>SUM('Income Statement - Monthly'!I13:I15)*DaysInventoryOnHand/30</f>
        <v>8763.3256773213252</v>
      </c>
      <c r="I8" s="122">
        <f>SUM('Income Statement - Monthly'!J13:J15)*DaysInventoryOnHand/30</f>
        <v>9892.9985038413251</v>
      </c>
      <c r="J8" s="122">
        <f>SUM('Income Statement - Monthly'!K13:K15)*DaysInventoryOnHand/30</f>
        <v>10991.245156482926</v>
      </c>
      <c r="K8" s="122">
        <f>SUM('Income Statement - Monthly'!L13:L15)*DaysInventoryOnHand/30</f>
        <v>12063.321541335854</v>
      </c>
      <c r="L8" s="122">
        <f>SUM('Income Statement - Monthly'!M13:M15)*DaysInventoryOnHand/30</f>
        <v>13109.234036977015</v>
      </c>
      <c r="M8" s="122">
        <f>SUM('Income Statement - Monthly'!N13:N15)*DaysInventoryOnHand/30</f>
        <v>14128.989532269472</v>
      </c>
      <c r="N8" s="123">
        <f>SUM('Income Statement - Monthly'!O13:O15)*DaysInventoryOnHand/30</f>
        <v>15122.595467185323</v>
      </c>
      <c r="O8" s="122">
        <f>SUM('Income Statement - Monthly'!P13:P15)*DaysInventoryOnHand/30</f>
        <v>16090.059876894444</v>
      </c>
      <c r="P8" s="122">
        <f>SUM('Income Statement - Monthly'!Q13:Q15)*DaysInventoryOnHand/30</f>
        <v>17041.891439380292</v>
      </c>
      <c r="Q8" s="122">
        <f>SUM('Income Statement - Monthly'!R13:R15)*DaysInventoryOnHand/30</f>
        <v>17967.599526865008</v>
      </c>
      <c r="R8" s="122">
        <f>SUM('Income Statement - Monthly'!S13:S15)*DaysInventoryOnHand/30</f>
        <v>18872.444261348504</v>
      </c>
      <c r="S8" s="122">
        <f>SUM('Income Statement - Monthly'!T13:T15)*DaysInventoryOnHand/30</f>
        <v>19756.43657459068</v>
      </c>
      <c r="T8" s="122">
        <f>SUM('Income Statement - Monthly'!U13:U15)*DaysInventoryOnHand/30</f>
        <v>20619.588272892226</v>
      </c>
      <c r="U8" s="122">
        <f>SUM('Income Statement - Monthly'!V13:V15)*DaysInventoryOnHand/30</f>
        <v>21461.912107057902</v>
      </c>
      <c r="V8" s="122">
        <f>SUM('Income Statement - Monthly'!W13:W15)*DaysInventoryOnHand/30</f>
        <v>22283.421847956823</v>
      </c>
      <c r="W8" s="122">
        <f>SUM('Income Statement - Monthly'!X13:X15)*DaysInventoryOnHand/30</f>
        <v>23089.382368127663</v>
      </c>
      <c r="X8" s="122">
        <f>SUM('Income Statement - Monthly'!Y13:Y15)*DaysInventoryOnHand/30</f>
        <v>23874.559729912169</v>
      </c>
      <c r="Y8" s="122">
        <f>SUM('Income Statement - Monthly'!Z13:Z15)*DaysInventoryOnHand/30</f>
        <v>24644.221280639442</v>
      </c>
      <c r="Z8" s="122">
        <f>SUM('Income Statement - Monthly'!AA13:AA15)*DaysInventoryOnHand/30</f>
        <v>25398.38575542489</v>
      </c>
      <c r="AA8" s="127">
        <f>SUM('Income Statement - Monthly'!AB13:AB15)*DaysInventoryOnHand/30</f>
        <v>21699.033042371848</v>
      </c>
      <c r="AB8" s="122">
        <f>SUM('Income Statement - Monthly'!AC13:AC15)*DaysInventoryOnHand/30</f>
        <v>22422.265685761595</v>
      </c>
      <c r="AC8" s="122">
        <f>SUM('Income Statement - Monthly'!AD13:AD15)*DaysInventoryOnHand/30</f>
        <v>23130.066940622521</v>
      </c>
      <c r="AD8" s="122">
        <f>SUM('Income Statement - Monthly'!AE13:AE15)*DaysInventoryOnHand/30</f>
        <v>23822.462295872323</v>
      </c>
      <c r="AE8" s="122">
        <f>SUM('Income Statement - Monthly'!AF13:AF15)*DaysInventoryOnHand/30</f>
        <v>24499.479279542109</v>
      </c>
      <c r="AF8" s="122">
        <f>SUM('Income Statement - Monthly'!AG13:AG15)*DaysInventoryOnHand/30</f>
        <v>25166.397621905478</v>
      </c>
      <c r="AG8" s="122">
        <f>SUM('Income Statement - Monthly'!AH13:AH15)*DaysInventoryOnHand/30</f>
        <v>25823.249431657918</v>
      </c>
      <c r="AH8" s="122">
        <f>SUM('Income Statement - Monthly'!AI13:AI15)*DaysInventoryOnHand/30</f>
        <v>26470.069386190549</v>
      </c>
      <c r="AI8" s="122">
        <f>SUM('Income Statement - Monthly'!AJ13:AJ15)*DaysInventoryOnHand/30</f>
        <v>27096.394937085795</v>
      </c>
      <c r="AJ8" s="122">
        <f>SUM('Income Statement - Monthly'!AK13:AK15)*DaysInventoryOnHand/30</f>
        <v>27718.016532052658</v>
      </c>
      <c r="AK8" s="122">
        <f>SUM('Income Statement - Monthly'!AL13:AL15)*DaysInventoryOnHand/30</f>
        <v>28329.727854616871</v>
      </c>
      <c r="AL8" s="123">
        <f>SUM('Income Statement - Monthly'!AM13:AM15)*DaysInventoryOnHand/30</f>
        <v>28931.576082986219</v>
      </c>
      <c r="AM8" s="122">
        <f>SUM('Income Statement - Monthly'!AN13:AN15)*DaysInventoryOnHand/30</f>
        <v>29528.862169625118</v>
      </c>
      <c r="AN8" s="122">
        <f>SUM('Income Statement - Monthly'!AO13:AO15)*DaysInventoryOnHand/30</f>
        <v>30116.391143195131</v>
      </c>
      <c r="AO8" s="122">
        <f>SUM('Income Statement - Monthly'!AP13:AP15)*DaysInventoryOnHand/30</f>
        <v>30694.222434650739</v>
      </c>
      <c r="AP8" s="122">
        <f>SUM('Income Statement - Monthly'!AQ13:AQ15)*DaysInventoryOnHand/30</f>
        <v>31272.920229422798</v>
      </c>
      <c r="AQ8" s="122">
        <f>SUM('Income Statement - Monthly'!AR13:AR15)*DaysInventoryOnHand/30</f>
        <v>31842.05384777662</v>
      </c>
      <c r="AR8" s="122">
        <f>SUM('Income Statement - Monthly'!AS13:AS15)*DaysInventoryOnHand/30</f>
        <v>32406.948155598751</v>
      </c>
      <c r="AS8" s="122">
        <f>SUM('Income Statement - Monthly'!AT13:AT15)*DaysInventoryOnHand/30</f>
        <v>32972.93400804665</v>
      </c>
      <c r="AT8" s="122">
        <f>SUM('Income Statement - Monthly'!AU13:AU15)*DaysInventoryOnHand/30</f>
        <v>33534.848728690384</v>
      </c>
      <c r="AU8" s="122">
        <f>SUM('Income Statement - Monthly'!AV13:AV15)*DaysInventoryOnHand/30</f>
        <v>34092.786626985617</v>
      </c>
      <c r="AV8" s="122">
        <f>SUM('Income Statement - Monthly'!AW13:AW15)*DaysInventoryOnHand/30</f>
        <v>34652.099557144466</v>
      </c>
      <c r="AW8" s="122">
        <f>SUM('Income Statement - Monthly'!AX13:AX15)*DaysInventoryOnHand/30</f>
        <v>35212.897521716011</v>
      </c>
      <c r="AX8" s="127">
        <f>SUM('Income Statement - Monthly'!AY13:AY15)*DaysInventoryOnHand/30</f>
        <v>35775.299323453299</v>
      </c>
      <c r="AY8" s="122">
        <f>SUM('Income Statement - Monthly'!AZ13:AZ15)*DaysInventoryOnHand/30</f>
        <v>36339.433269329566</v>
      </c>
      <c r="AZ8" s="122">
        <f>SUM('Income Statement - Monthly'!BA13:BA15)*DaysInventoryOnHand/30</f>
        <v>36915.937930875931</v>
      </c>
      <c r="BA8" s="122">
        <f>SUM('Income Statement - Monthly'!BB13:BB15)*DaysInventoryOnHand/30</f>
        <v>37494.462965346007</v>
      </c>
      <c r="BB8" s="122">
        <f>SUM('Income Statement - Monthly'!BC13:BC15)*DaysInventoryOnHand/30</f>
        <v>38080.420002573686</v>
      </c>
      <c r="BC8" s="122">
        <f>SUM('Income Statement - Monthly'!BD13:BD15)*DaysInventoryOnHand/30</f>
        <v>38679.233602779583</v>
      </c>
      <c r="BD8" s="122">
        <f>SUM('Income Statement - Monthly'!BE13:BE15)*DaysInventoryOnHand/30</f>
        <v>39285.842291001951</v>
      </c>
      <c r="BE8" s="122">
        <f>SUM('Income Statement - Monthly'!BF13:BF15)*DaysInventoryOnHand/30</f>
        <v>39900.449674282107</v>
      </c>
      <c r="BF8" s="122">
        <f>SUM('Income Statement - Monthly'!BG13:BG15)*DaysInventoryOnHand/30</f>
        <v>40533.77564822467</v>
      </c>
      <c r="BG8" s="122">
        <f>SUM('Income Statement - Monthly'!BH13:BH15)*DaysInventoryOnHand/30</f>
        <v>41186.057700082645</v>
      </c>
      <c r="BH8" s="122">
        <f>SUM('Income Statement - Monthly'!BI13:BI15)*DaysInventoryOnHand/30</f>
        <v>41857.552316089255</v>
      </c>
      <c r="BI8" s="122">
        <f>SUM('Income Statement - Monthly'!BJ13:BJ15)*DaysInventoryOnHand/30</f>
        <v>42548.536501376395</v>
      </c>
      <c r="BJ8" s="123">
        <f>SUM('Income Statement - Monthly'!BK13:BK15)*DaysInventoryOnHand/30</f>
        <v>43264.55942148652</v>
      </c>
    </row>
    <row r="9" spans="2:62" x14ac:dyDescent="0.2">
      <c r="B9" s="98"/>
      <c r="C9" s="268"/>
      <c r="D9" s="269"/>
      <c r="E9" s="269"/>
      <c r="F9" s="269"/>
      <c r="G9" s="122"/>
      <c r="H9" s="122"/>
      <c r="I9" s="122"/>
      <c r="J9" s="122"/>
      <c r="K9" s="122"/>
      <c r="L9" s="122"/>
      <c r="M9" s="122"/>
      <c r="N9" s="123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7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3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7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3"/>
    </row>
    <row r="10" spans="2:62" x14ac:dyDescent="0.2">
      <c r="B10" s="98" t="s">
        <v>125</v>
      </c>
      <c r="C10" s="268">
        <f>0+'Cash Flow - Monthly'!C16</f>
        <v>34000</v>
      </c>
      <c r="D10" s="269">
        <f>C10+'Cash Flow - Monthly'!D16</f>
        <v>34000</v>
      </c>
      <c r="E10" s="269">
        <f>D10+'Cash Flow - Monthly'!E16</f>
        <v>34000</v>
      </c>
      <c r="F10" s="269">
        <f>E10+'Cash Flow - Monthly'!F16</f>
        <v>34000</v>
      </c>
      <c r="G10" s="122">
        <f>F10+'Cash Flow - Monthly'!G16</f>
        <v>34000</v>
      </c>
      <c r="H10" s="122">
        <f>G10+'Cash Flow - Monthly'!H16</f>
        <v>34000</v>
      </c>
      <c r="I10" s="122">
        <f>H10+'Cash Flow - Monthly'!I16</f>
        <v>34000</v>
      </c>
      <c r="J10" s="122">
        <f>I10+'Cash Flow - Monthly'!J16</f>
        <v>34000</v>
      </c>
      <c r="K10" s="122">
        <f>J10+'Cash Flow - Monthly'!K16</f>
        <v>34000</v>
      </c>
      <c r="L10" s="122">
        <f>K10+'Cash Flow - Monthly'!L16</f>
        <v>34000</v>
      </c>
      <c r="M10" s="122">
        <f>L10+'Cash Flow - Monthly'!M16</f>
        <v>34000</v>
      </c>
      <c r="N10" s="123">
        <f>M10+'Cash Flow - Monthly'!N16</f>
        <v>34000</v>
      </c>
      <c r="O10" s="122">
        <f>N10+'Cash Flow - Monthly'!O16</f>
        <v>34000</v>
      </c>
      <c r="P10" s="122">
        <f>O10+'Cash Flow - Monthly'!P16</f>
        <v>34000</v>
      </c>
      <c r="Q10" s="122">
        <f>P10+'Cash Flow - Monthly'!Q16</f>
        <v>34000</v>
      </c>
      <c r="R10" s="122">
        <f>Q10+'Cash Flow - Monthly'!R16</f>
        <v>34000</v>
      </c>
      <c r="S10" s="122">
        <f>R10+'Cash Flow - Monthly'!S16</f>
        <v>34000</v>
      </c>
      <c r="T10" s="122">
        <f>S10+'Cash Flow - Monthly'!T16</f>
        <v>34000</v>
      </c>
      <c r="U10" s="122">
        <f>T10+'Cash Flow - Monthly'!U16</f>
        <v>34000</v>
      </c>
      <c r="V10" s="122">
        <f>U10+'Cash Flow - Monthly'!V16</f>
        <v>34000</v>
      </c>
      <c r="W10" s="122">
        <f>V10+'Cash Flow - Monthly'!W16</f>
        <v>34000</v>
      </c>
      <c r="X10" s="122">
        <f>W10+'Cash Flow - Monthly'!X16</f>
        <v>34000</v>
      </c>
      <c r="Y10" s="122">
        <f>X10+'Cash Flow - Monthly'!Y16</f>
        <v>34000</v>
      </c>
      <c r="Z10" s="122">
        <f>Y10+'Cash Flow - Monthly'!Z16</f>
        <v>34000</v>
      </c>
      <c r="AA10" s="127">
        <f>Z10+'Cash Flow - Monthly'!AA16</f>
        <v>34000</v>
      </c>
      <c r="AB10" s="122">
        <f>AA10+'Cash Flow - Monthly'!AB16</f>
        <v>34000</v>
      </c>
      <c r="AC10" s="122">
        <f>AB10+'Cash Flow - Monthly'!AC16</f>
        <v>34000</v>
      </c>
      <c r="AD10" s="122">
        <f>AC10+'Cash Flow - Monthly'!AD16</f>
        <v>34000</v>
      </c>
      <c r="AE10" s="122">
        <f>AD10+'Cash Flow - Monthly'!AE16</f>
        <v>34000</v>
      </c>
      <c r="AF10" s="122">
        <f>AE10+'Cash Flow - Monthly'!AF16</f>
        <v>34000</v>
      </c>
      <c r="AG10" s="122">
        <f>AF10+'Cash Flow - Monthly'!AG16</f>
        <v>34000</v>
      </c>
      <c r="AH10" s="122">
        <f>AG10+'Cash Flow - Monthly'!AH16</f>
        <v>34000</v>
      </c>
      <c r="AI10" s="122">
        <f>AH10+'Cash Flow - Monthly'!AI16</f>
        <v>34000</v>
      </c>
      <c r="AJ10" s="122">
        <f>AI10+'Cash Flow - Monthly'!AJ16</f>
        <v>34000</v>
      </c>
      <c r="AK10" s="122">
        <f>AJ10+'Cash Flow - Monthly'!AK16</f>
        <v>34000</v>
      </c>
      <c r="AL10" s="123">
        <f>AK10+'Cash Flow - Monthly'!AL16</f>
        <v>34000</v>
      </c>
      <c r="AM10" s="122">
        <f>AL10+'Cash Flow - Monthly'!AM16</f>
        <v>34000</v>
      </c>
      <c r="AN10" s="122">
        <f>AM10+'Cash Flow - Monthly'!AN16</f>
        <v>34000</v>
      </c>
      <c r="AO10" s="122">
        <f>AN10+'Cash Flow - Monthly'!AO16</f>
        <v>34000</v>
      </c>
      <c r="AP10" s="122">
        <f>AO10+'Cash Flow - Monthly'!AP16</f>
        <v>34000</v>
      </c>
      <c r="AQ10" s="122">
        <f>AP10+'Cash Flow - Monthly'!AQ16</f>
        <v>34000</v>
      </c>
      <c r="AR10" s="122">
        <f>AQ10+'Cash Flow - Monthly'!AR16</f>
        <v>34000</v>
      </c>
      <c r="AS10" s="122">
        <f>AR10+'Cash Flow - Monthly'!AS16</f>
        <v>34000</v>
      </c>
      <c r="AT10" s="122">
        <f>AS10+'Cash Flow - Monthly'!AT16</f>
        <v>34000</v>
      </c>
      <c r="AU10" s="122">
        <f>AT10+'Cash Flow - Monthly'!AU16</f>
        <v>34000</v>
      </c>
      <c r="AV10" s="122">
        <f>AU10+'Cash Flow - Monthly'!AV16</f>
        <v>34000</v>
      </c>
      <c r="AW10" s="122">
        <f>AV10+'Cash Flow - Monthly'!AW16</f>
        <v>34000</v>
      </c>
      <c r="AX10" s="127">
        <f>AW10+'Cash Flow - Monthly'!AX16</f>
        <v>34000</v>
      </c>
      <c r="AY10" s="122">
        <f>AX10+'Cash Flow - Monthly'!AY16</f>
        <v>34000</v>
      </c>
      <c r="AZ10" s="122">
        <f>AY10+'Cash Flow - Monthly'!AZ16</f>
        <v>34000</v>
      </c>
      <c r="BA10" s="122">
        <f>AZ10+'Cash Flow - Monthly'!BA16</f>
        <v>34000</v>
      </c>
      <c r="BB10" s="122">
        <f>BA10+'Cash Flow - Monthly'!BB16</f>
        <v>34000</v>
      </c>
      <c r="BC10" s="122">
        <f>BB10+'Cash Flow - Monthly'!BC16</f>
        <v>34000</v>
      </c>
      <c r="BD10" s="122">
        <f>BC10+'Cash Flow - Monthly'!BD16</f>
        <v>34000</v>
      </c>
      <c r="BE10" s="122">
        <f>BD10+'Cash Flow - Monthly'!BE16</f>
        <v>34000</v>
      </c>
      <c r="BF10" s="122">
        <f>BE10+'Cash Flow - Monthly'!BF16</f>
        <v>34000</v>
      </c>
      <c r="BG10" s="122">
        <f>BF10+'Cash Flow - Monthly'!BG16</f>
        <v>34000</v>
      </c>
      <c r="BH10" s="122">
        <f>BG10+'Cash Flow - Monthly'!BH16</f>
        <v>34000</v>
      </c>
      <c r="BI10" s="122">
        <f>BH10+'Cash Flow - Monthly'!BI16</f>
        <v>34000</v>
      </c>
      <c r="BJ10" s="123">
        <f>BI10+'Cash Flow - Monthly'!BJ16</f>
        <v>34000</v>
      </c>
    </row>
    <row r="11" spans="2:62" ht="17" thickBot="1" x14ac:dyDescent="0.25">
      <c r="B11" s="124" t="s">
        <v>126</v>
      </c>
      <c r="C11" s="268">
        <f>0+'Income Statement - Monthly'!D45</f>
        <v>-2833.3333333333335</v>
      </c>
      <c r="D11" s="269">
        <f>C11+'Income Statement - Monthly'!E45</f>
        <v>-5666.666666666667</v>
      </c>
      <c r="E11" s="269">
        <f>D11+'Income Statement - Monthly'!F45</f>
        <v>-8500</v>
      </c>
      <c r="F11" s="269">
        <f>E11+'Income Statement - Monthly'!G45</f>
        <v>-11333.333333333334</v>
      </c>
      <c r="G11" s="122">
        <f>F11+'Income Statement - Monthly'!H45</f>
        <v>-14166.666666666668</v>
      </c>
      <c r="H11" s="122">
        <f>G11+'Income Statement - Monthly'!I45</f>
        <v>-17000</v>
      </c>
      <c r="I11" s="122">
        <f>H11+'Income Statement - Monthly'!J45</f>
        <v>-19833.333333333332</v>
      </c>
      <c r="J11" s="122">
        <f>I11+'Income Statement - Monthly'!K45</f>
        <v>-22666.666666666664</v>
      </c>
      <c r="K11" s="122">
        <f>J11+'Income Statement - Monthly'!L45</f>
        <v>-25499.999999999996</v>
      </c>
      <c r="L11" s="122">
        <f>K11+'Income Statement - Monthly'!M45</f>
        <v>-28333.333333333328</v>
      </c>
      <c r="M11" s="122">
        <f>L11+'Income Statement - Monthly'!N45</f>
        <v>-31166.666666666661</v>
      </c>
      <c r="N11" s="123">
        <f>M11+'Income Statement - Monthly'!O45</f>
        <v>-33999.999999999993</v>
      </c>
      <c r="O11" s="111">
        <f>N11+'Income Statement - Monthly'!P45</f>
        <v>-33999.999999999993</v>
      </c>
      <c r="P11" s="111">
        <f>O11+'Income Statement - Monthly'!Q45</f>
        <v>-33999.999999999993</v>
      </c>
      <c r="Q11" s="111">
        <f>P11+'Income Statement - Monthly'!R45</f>
        <v>-33999.999999999993</v>
      </c>
      <c r="R11" s="111">
        <f>Q11+'Income Statement - Monthly'!S45</f>
        <v>-33999.999999999993</v>
      </c>
      <c r="S11" s="111">
        <f>R11+'Income Statement - Monthly'!T45</f>
        <v>-33999.999999999993</v>
      </c>
      <c r="T11" s="111">
        <f>S11+'Income Statement - Monthly'!U45</f>
        <v>-33999.999999999993</v>
      </c>
      <c r="U11" s="111">
        <f>T11+'Income Statement - Monthly'!V45</f>
        <v>-33999.999999999993</v>
      </c>
      <c r="V11" s="111">
        <f>U11+'Income Statement - Monthly'!W45</f>
        <v>-33999.999999999993</v>
      </c>
      <c r="W11" s="111">
        <f>V11+'Income Statement - Monthly'!X45</f>
        <v>-33999.999999999993</v>
      </c>
      <c r="X11" s="111">
        <f>W11+'Income Statement - Monthly'!Y45</f>
        <v>-33999.999999999993</v>
      </c>
      <c r="Y11" s="111">
        <f>X11+'Income Statement - Monthly'!Z45</f>
        <v>-33999.999999999993</v>
      </c>
      <c r="Z11" s="111">
        <f>Y11+'Income Statement - Monthly'!AA45</f>
        <v>-33999.999999999993</v>
      </c>
      <c r="AA11" s="128">
        <f>Z11+'Income Statement - Monthly'!AB45</f>
        <v>-33999.999999999993</v>
      </c>
      <c r="AB11" s="111">
        <f>AA11+'Income Statement - Monthly'!AC45</f>
        <v>-33999.999999999993</v>
      </c>
      <c r="AC11" s="111">
        <f>AB11+'Income Statement - Monthly'!AD45</f>
        <v>-33999.999999999993</v>
      </c>
      <c r="AD11" s="111">
        <f>AC11+'Income Statement - Monthly'!AE45</f>
        <v>-33999.999999999993</v>
      </c>
      <c r="AE11" s="111">
        <f>AD11+'Income Statement - Monthly'!AF45</f>
        <v>-33999.999999999993</v>
      </c>
      <c r="AF11" s="111">
        <f>AE11+'Income Statement - Monthly'!AG45</f>
        <v>-33999.999999999993</v>
      </c>
      <c r="AG11" s="111">
        <f>AF11+'Income Statement - Monthly'!AH45</f>
        <v>-33999.999999999993</v>
      </c>
      <c r="AH11" s="111">
        <f>AG11+'Income Statement - Monthly'!AI45</f>
        <v>-33999.999999999993</v>
      </c>
      <c r="AI11" s="111">
        <f>AH11+'Income Statement - Monthly'!AJ45</f>
        <v>-33999.999999999993</v>
      </c>
      <c r="AJ11" s="111">
        <f>AI11+'Income Statement - Monthly'!AK45</f>
        <v>-33999.999999999993</v>
      </c>
      <c r="AK11" s="111">
        <f>AJ11+'Income Statement - Monthly'!AL45</f>
        <v>-33999.999999999993</v>
      </c>
      <c r="AL11" s="125">
        <f>AK11+'Income Statement - Monthly'!AM45</f>
        <v>-33999.999999999993</v>
      </c>
      <c r="AM11" s="111">
        <f>AL11+'Income Statement - Monthly'!AN45</f>
        <v>-33999.999999999993</v>
      </c>
      <c r="AN11" s="111">
        <f>AM11+'Income Statement - Monthly'!AO45</f>
        <v>-33999.999999999993</v>
      </c>
      <c r="AO11" s="111">
        <f>AN11+'Income Statement - Monthly'!AP45</f>
        <v>-33999.999999999993</v>
      </c>
      <c r="AP11" s="111">
        <f>AO11+'Income Statement - Monthly'!AQ45</f>
        <v>-33999.999999999993</v>
      </c>
      <c r="AQ11" s="111">
        <f>AP11+'Income Statement - Monthly'!AR45</f>
        <v>-33999.999999999993</v>
      </c>
      <c r="AR11" s="111">
        <f>AQ11+'Income Statement - Monthly'!AS45</f>
        <v>-33999.999999999993</v>
      </c>
      <c r="AS11" s="111">
        <f>AR11+'Income Statement - Monthly'!AT45</f>
        <v>-33999.999999999993</v>
      </c>
      <c r="AT11" s="111">
        <f>AS11+'Income Statement - Monthly'!AU45</f>
        <v>-33999.999999999993</v>
      </c>
      <c r="AU11" s="111">
        <f>AT11+'Income Statement - Monthly'!AV45</f>
        <v>-33999.999999999993</v>
      </c>
      <c r="AV11" s="111">
        <f>AU11+'Income Statement - Monthly'!AW45</f>
        <v>-33999.999999999993</v>
      </c>
      <c r="AW11" s="111">
        <f>AV11+'Income Statement - Monthly'!AX45</f>
        <v>-33999.999999999993</v>
      </c>
      <c r="AX11" s="128">
        <f>AW11+'Income Statement - Monthly'!AY45</f>
        <v>-33999.999999999993</v>
      </c>
      <c r="AY11" s="111">
        <f>AX11+'Income Statement - Monthly'!AZ45</f>
        <v>-33999.999999999993</v>
      </c>
      <c r="AZ11" s="111">
        <f>AY11+'Income Statement - Monthly'!BA45</f>
        <v>-33999.999999999993</v>
      </c>
      <c r="BA11" s="111">
        <f>AZ11+'Income Statement - Monthly'!BB45</f>
        <v>-33999.999999999993</v>
      </c>
      <c r="BB11" s="111">
        <f>BA11+'Income Statement - Monthly'!BC45</f>
        <v>-33999.999999999993</v>
      </c>
      <c r="BC11" s="111">
        <f>BB11+'Income Statement - Monthly'!BD45</f>
        <v>-33999.999999999993</v>
      </c>
      <c r="BD11" s="111">
        <f>BC11+'Income Statement - Monthly'!BE45</f>
        <v>-33999.999999999993</v>
      </c>
      <c r="BE11" s="111">
        <f>BD11+'Income Statement - Monthly'!BF45</f>
        <v>-33999.999999999993</v>
      </c>
      <c r="BF11" s="111">
        <f>BE11+'Income Statement - Monthly'!BG45</f>
        <v>-33999.999999999993</v>
      </c>
      <c r="BG11" s="111">
        <f>BF11+'Income Statement - Monthly'!BH45</f>
        <v>-33999.999999999993</v>
      </c>
      <c r="BH11" s="111">
        <f>BG11+'Income Statement - Monthly'!BI45</f>
        <v>-33999.999999999993</v>
      </c>
      <c r="BI11" s="111">
        <f>BH11+'Income Statement - Monthly'!BJ45</f>
        <v>-33999.999999999993</v>
      </c>
      <c r="BJ11" s="125">
        <f>BI11+'Income Statement - Monthly'!BK45</f>
        <v>-33999.999999999993</v>
      </c>
    </row>
    <row r="12" spans="2:62" x14ac:dyDescent="0.2">
      <c r="B12" s="154" t="s">
        <v>164</v>
      </c>
      <c r="C12" s="333">
        <f>C10+C11</f>
        <v>31166.666666666668</v>
      </c>
      <c r="D12" s="334">
        <f t="shared" ref="D12:N12" si="0">D10+D11</f>
        <v>28333.333333333332</v>
      </c>
      <c r="E12" s="334">
        <f t="shared" si="0"/>
        <v>25500</v>
      </c>
      <c r="F12" s="334">
        <f t="shared" si="0"/>
        <v>22666.666666666664</v>
      </c>
      <c r="G12" s="392">
        <f t="shared" si="0"/>
        <v>19833.333333333332</v>
      </c>
      <c r="H12" s="392">
        <f t="shared" si="0"/>
        <v>17000</v>
      </c>
      <c r="I12" s="392">
        <f t="shared" si="0"/>
        <v>14166.666666666668</v>
      </c>
      <c r="J12" s="392">
        <f t="shared" si="0"/>
        <v>11333.333333333336</v>
      </c>
      <c r="K12" s="392">
        <f t="shared" si="0"/>
        <v>8500.0000000000036</v>
      </c>
      <c r="L12" s="392">
        <f t="shared" si="0"/>
        <v>5666.6666666666715</v>
      </c>
      <c r="M12" s="392">
        <f t="shared" si="0"/>
        <v>2833.3333333333394</v>
      </c>
      <c r="N12" s="393">
        <f t="shared" si="0"/>
        <v>0</v>
      </c>
      <c r="O12" s="122">
        <f t="shared" ref="O12" si="1">O10+O11</f>
        <v>0</v>
      </c>
      <c r="P12" s="122">
        <f t="shared" ref="P12" si="2">P10+P11</f>
        <v>0</v>
      </c>
      <c r="Q12" s="122">
        <f t="shared" ref="Q12" si="3">Q10+Q11</f>
        <v>0</v>
      </c>
      <c r="R12" s="122">
        <f t="shared" ref="R12" si="4">R10+R11</f>
        <v>0</v>
      </c>
      <c r="S12" s="122">
        <f t="shared" ref="S12" si="5">S10+S11</f>
        <v>0</v>
      </c>
      <c r="T12" s="122">
        <f t="shared" ref="T12" si="6">T10+T11</f>
        <v>0</v>
      </c>
      <c r="U12" s="122">
        <f t="shared" ref="U12" si="7">U10+U11</f>
        <v>0</v>
      </c>
      <c r="V12" s="122">
        <f t="shared" ref="V12" si="8">V10+V11</f>
        <v>0</v>
      </c>
      <c r="W12" s="122">
        <f t="shared" ref="W12" si="9">W10+W11</f>
        <v>0</v>
      </c>
      <c r="X12" s="122">
        <f t="shared" ref="X12" si="10">X10+X11</f>
        <v>0</v>
      </c>
      <c r="Y12" s="122">
        <f t="shared" ref="Y12" si="11">Y10+Y11</f>
        <v>0</v>
      </c>
      <c r="Z12" s="122">
        <f t="shared" ref="Z12" si="12">Z10+Z11</f>
        <v>0</v>
      </c>
      <c r="AA12" s="127">
        <f t="shared" ref="AA12" si="13">AA10+AA11</f>
        <v>0</v>
      </c>
      <c r="AB12" s="122">
        <f t="shared" ref="AB12" si="14">AB10+AB11</f>
        <v>0</v>
      </c>
      <c r="AC12" s="122">
        <f t="shared" ref="AC12" si="15">AC10+AC11</f>
        <v>0</v>
      </c>
      <c r="AD12" s="122">
        <f t="shared" ref="AD12" si="16">AD10+AD11</f>
        <v>0</v>
      </c>
      <c r="AE12" s="122">
        <f t="shared" ref="AE12" si="17">AE10+AE11</f>
        <v>0</v>
      </c>
      <c r="AF12" s="122">
        <f t="shared" ref="AF12" si="18">AF10+AF11</f>
        <v>0</v>
      </c>
      <c r="AG12" s="122">
        <f t="shared" ref="AG12" si="19">AG10+AG11</f>
        <v>0</v>
      </c>
      <c r="AH12" s="122">
        <f t="shared" ref="AH12" si="20">AH10+AH11</f>
        <v>0</v>
      </c>
      <c r="AI12" s="122">
        <f t="shared" ref="AI12" si="21">AI10+AI11</f>
        <v>0</v>
      </c>
      <c r="AJ12" s="122">
        <f t="shared" ref="AJ12" si="22">AJ10+AJ11</f>
        <v>0</v>
      </c>
      <c r="AK12" s="122">
        <f t="shared" ref="AK12" si="23">AK10+AK11</f>
        <v>0</v>
      </c>
      <c r="AL12" s="123">
        <f t="shared" ref="AL12" si="24">AL10+AL11</f>
        <v>0</v>
      </c>
      <c r="AM12" s="122">
        <f t="shared" ref="AM12" si="25">AM10+AM11</f>
        <v>0</v>
      </c>
      <c r="AN12" s="122">
        <f t="shared" ref="AN12" si="26">AN10+AN11</f>
        <v>0</v>
      </c>
      <c r="AO12" s="122">
        <f t="shared" ref="AO12" si="27">AO10+AO11</f>
        <v>0</v>
      </c>
      <c r="AP12" s="122">
        <f t="shared" ref="AP12" si="28">AP10+AP11</f>
        <v>0</v>
      </c>
      <c r="AQ12" s="122">
        <f t="shared" ref="AQ12" si="29">AQ10+AQ11</f>
        <v>0</v>
      </c>
      <c r="AR12" s="122">
        <f t="shared" ref="AR12" si="30">AR10+AR11</f>
        <v>0</v>
      </c>
      <c r="AS12" s="122">
        <f t="shared" ref="AS12" si="31">AS10+AS11</f>
        <v>0</v>
      </c>
      <c r="AT12" s="122">
        <f t="shared" ref="AT12" si="32">AT10+AT11</f>
        <v>0</v>
      </c>
      <c r="AU12" s="122">
        <f t="shared" ref="AU12" si="33">AU10+AU11</f>
        <v>0</v>
      </c>
      <c r="AV12" s="122">
        <f t="shared" ref="AV12" si="34">AV10+AV11</f>
        <v>0</v>
      </c>
      <c r="AW12" s="122">
        <f t="shared" ref="AW12" si="35">AW10+AW11</f>
        <v>0</v>
      </c>
      <c r="AX12" s="127">
        <f t="shared" ref="AX12" si="36">AX10+AX11</f>
        <v>0</v>
      </c>
      <c r="AY12" s="122">
        <f t="shared" ref="AY12" si="37">AY10+AY11</f>
        <v>0</v>
      </c>
      <c r="AZ12" s="122">
        <f t="shared" ref="AZ12" si="38">AZ10+AZ11</f>
        <v>0</v>
      </c>
      <c r="BA12" s="122">
        <f t="shared" ref="BA12" si="39">BA10+BA11</f>
        <v>0</v>
      </c>
      <c r="BB12" s="122">
        <f t="shared" ref="BB12" si="40">BB10+BB11</f>
        <v>0</v>
      </c>
      <c r="BC12" s="122">
        <f t="shared" ref="BC12" si="41">BC10+BC11</f>
        <v>0</v>
      </c>
      <c r="BD12" s="122">
        <f t="shared" ref="BD12" si="42">BD10+BD11</f>
        <v>0</v>
      </c>
      <c r="BE12" s="122">
        <f t="shared" ref="BE12" si="43">BE10+BE11</f>
        <v>0</v>
      </c>
      <c r="BF12" s="122">
        <f t="shared" ref="BF12" si="44">BF10+BF11</f>
        <v>0</v>
      </c>
      <c r="BG12" s="122">
        <f t="shared" ref="BG12" si="45">BG10+BG11</f>
        <v>0</v>
      </c>
      <c r="BH12" s="122">
        <f t="shared" ref="BH12" si="46">BH10+BH11</f>
        <v>0</v>
      </c>
      <c r="BI12" s="122">
        <f t="shared" ref="BI12" si="47">BI10+BI11</f>
        <v>0</v>
      </c>
      <c r="BJ12" s="123">
        <f t="shared" ref="BJ12" si="48">BJ10+BJ11</f>
        <v>0</v>
      </c>
    </row>
    <row r="13" spans="2:62" ht="17" thickBot="1" x14ac:dyDescent="0.25">
      <c r="B13" s="124"/>
      <c r="C13" s="379"/>
      <c r="D13" s="380"/>
      <c r="E13" s="380"/>
      <c r="F13" s="380"/>
      <c r="G13" s="381"/>
      <c r="H13" s="381"/>
      <c r="I13" s="381"/>
      <c r="J13" s="381"/>
      <c r="K13" s="381"/>
      <c r="L13" s="381"/>
      <c r="M13" s="381"/>
      <c r="N13" s="38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7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3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7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3"/>
    </row>
    <row r="14" spans="2:62" s="1" customFormat="1" ht="17" thickBot="1" x14ac:dyDescent="0.25">
      <c r="B14" s="120" t="s">
        <v>19</v>
      </c>
      <c r="C14" s="388">
        <f>SUM(C6:C8)+C12</f>
        <v>67917.5</v>
      </c>
      <c r="D14" s="389">
        <f t="shared" ref="D14:AB14" si="49">SUM(D6:D8)+D12</f>
        <v>41786.11277777778</v>
      </c>
      <c r="E14" s="389">
        <f t="shared" si="49"/>
        <v>523371.01704259263</v>
      </c>
      <c r="F14" s="389">
        <f t="shared" si="49"/>
        <v>522373.80100362893</v>
      </c>
      <c r="G14" s="390">
        <f t="shared" si="49"/>
        <v>501868.8218734499</v>
      </c>
      <c r="H14" s="390">
        <f t="shared" si="49"/>
        <v>463185.45772991766</v>
      </c>
      <c r="I14" s="390">
        <f t="shared" si="49"/>
        <v>417191.38385382597</v>
      </c>
      <c r="J14" s="390">
        <f t="shared" si="49"/>
        <v>375248.59104234417</v>
      </c>
      <c r="K14" s="390">
        <f t="shared" si="49"/>
        <v>337390.00158166798</v>
      </c>
      <c r="L14" s="390">
        <f t="shared" si="49"/>
        <v>303524.65504022525</v>
      </c>
      <c r="M14" s="390">
        <f t="shared" si="49"/>
        <v>272911.31482958607</v>
      </c>
      <c r="N14" s="391">
        <f t="shared" si="49"/>
        <v>246096.30278083967</v>
      </c>
      <c r="O14" s="118">
        <f t="shared" si="49"/>
        <v>211831.12667597763</v>
      </c>
      <c r="P14" s="118">
        <f t="shared" si="49"/>
        <v>180613.72228020334</v>
      </c>
      <c r="Q14" s="118">
        <f t="shared" si="49"/>
        <v>152271.79804956872</v>
      </c>
      <c r="R14" s="118">
        <f t="shared" si="49"/>
        <v>127385.56287234106</v>
      </c>
      <c r="S14" s="118">
        <f t="shared" si="49"/>
        <v>105893.1850827657</v>
      </c>
      <c r="T14" s="118">
        <f t="shared" si="49"/>
        <v>87722.673259194184</v>
      </c>
      <c r="U14" s="118">
        <f t="shared" si="49"/>
        <v>1050151.8460662041</v>
      </c>
      <c r="V14" s="118">
        <f t="shared" si="49"/>
        <v>1018806.1689594969</v>
      </c>
      <c r="W14" s="118">
        <f t="shared" si="49"/>
        <v>990534.9173335142</v>
      </c>
      <c r="X14" s="118">
        <f t="shared" si="49"/>
        <v>965251.24305887823</v>
      </c>
      <c r="Y14" s="118">
        <f t="shared" si="49"/>
        <v>942267.0941153015</v>
      </c>
      <c r="Z14" s="118">
        <f t="shared" si="49"/>
        <v>922168.18102684547</v>
      </c>
      <c r="AA14" s="100">
        <f t="shared" si="49"/>
        <v>858802.73603469983</v>
      </c>
      <c r="AB14" s="118">
        <f t="shared" si="49"/>
        <v>806965.13227654784</v>
      </c>
      <c r="AC14" s="118">
        <f t="shared" ref="AC14:BJ14" si="50">SUM(AC6:AC8)+AC12</f>
        <v>757741.22504833469</v>
      </c>
      <c r="AD14" s="118">
        <f t="shared" si="50"/>
        <v>710428.13005522382</v>
      </c>
      <c r="AE14" s="118">
        <f t="shared" si="50"/>
        <v>665610.72812540154</v>
      </c>
      <c r="AF14" s="118">
        <f t="shared" si="50"/>
        <v>623280.96640613989</v>
      </c>
      <c r="AG14" s="118">
        <f t="shared" si="50"/>
        <v>583406.8737555003</v>
      </c>
      <c r="AH14" s="118">
        <f t="shared" si="50"/>
        <v>545956.50859899295</v>
      </c>
      <c r="AI14" s="118">
        <f t="shared" si="50"/>
        <v>510827.96991916915</v>
      </c>
      <c r="AJ14" s="118">
        <f t="shared" si="50"/>
        <v>477402.21081979427</v>
      </c>
      <c r="AK14" s="118">
        <f t="shared" si="50"/>
        <v>446271.23990955367</v>
      </c>
      <c r="AL14" s="119">
        <f t="shared" si="50"/>
        <v>417413.24187330162</v>
      </c>
      <c r="AM14" s="118">
        <f t="shared" si="50"/>
        <v>390831.52870944672</v>
      </c>
      <c r="AN14" s="118">
        <f t="shared" si="50"/>
        <v>366480.62199016492</v>
      </c>
      <c r="AO14" s="118">
        <f t="shared" si="50"/>
        <v>344329.14250934776</v>
      </c>
      <c r="AP14" s="118">
        <f t="shared" si="50"/>
        <v>323765.85844532563</v>
      </c>
      <c r="AQ14" s="118">
        <f t="shared" si="50"/>
        <v>305369.73767735984</v>
      </c>
      <c r="AR14" s="118">
        <f t="shared" si="50"/>
        <v>289155.00688920543</v>
      </c>
      <c r="AS14" s="118">
        <f t="shared" si="50"/>
        <v>275147.24011138483</v>
      </c>
      <c r="AT14" s="118">
        <f t="shared" si="50"/>
        <v>263323.42193963588</v>
      </c>
      <c r="AU14" s="118">
        <f t="shared" si="50"/>
        <v>253674.84799560552</v>
      </c>
      <c r="AV14" s="118">
        <f t="shared" si="50"/>
        <v>246228.18474978261</v>
      </c>
      <c r="AW14" s="118">
        <f t="shared" si="50"/>
        <v>240346.60191340296</v>
      </c>
      <c r="AX14" s="100">
        <f t="shared" si="50"/>
        <v>236681.61283078563</v>
      </c>
      <c r="AY14" s="118">
        <f t="shared" si="50"/>
        <v>235257.40627016721</v>
      </c>
      <c r="AZ14" s="118">
        <f t="shared" si="50"/>
        <v>236158.79563880299</v>
      </c>
      <c r="BA14" s="118">
        <f t="shared" si="50"/>
        <v>239373.42958588034</v>
      </c>
      <c r="BB14" s="118">
        <f t="shared" si="50"/>
        <v>244952.58512243771</v>
      </c>
      <c r="BC14" s="118">
        <f t="shared" si="50"/>
        <v>252319.37797854585</v>
      </c>
      <c r="BD14" s="118">
        <f t="shared" si="50"/>
        <v>262136.72355602437</v>
      </c>
      <c r="BE14" s="118">
        <f t="shared" si="50"/>
        <v>274454.56380355899</v>
      </c>
      <c r="BF14" s="118">
        <f t="shared" si="50"/>
        <v>289383.87041816732</v>
      </c>
      <c r="BG14" s="118">
        <f t="shared" si="50"/>
        <v>307008.882339706</v>
      </c>
      <c r="BH14" s="118">
        <f t="shared" si="50"/>
        <v>327415.12622865528</v>
      </c>
      <c r="BI14" s="118">
        <f t="shared" si="50"/>
        <v>350039.50131245365</v>
      </c>
      <c r="BJ14" s="119">
        <f t="shared" si="50"/>
        <v>375643.2042923015</v>
      </c>
    </row>
    <row r="15" spans="2:62" s="1" customFormat="1" x14ac:dyDescent="0.2">
      <c r="B15" s="2"/>
      <c r="C15" s="268"/>
      <c r="D15" s="269"/>
      <c r="E15" s="269"/>
      <c r="F15" s="269"/>
      <c r="G15" s="122"/>
      <c r="H15" s="122"/>
      <c r="I15" s="122"/>
      <c r="J15" s="122"/>
      <c r="K15" s="122"/>
      <c r="L15" s="122"/>
      <c r="M15" s="122"/>
      <c r="N15" s="123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7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3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7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3"/>
    </row>
    <row r="16" spans="2:62" x14ac:dyDescent="0.2">
      <c r="B16" s="126" t="s">
        <v>24</v>
      </c>
      <c r="C16" s="268"/>
      <c r="D16" s="269"/>
      <c r="E16" s="269"/>
      <c r="F16" s="269"/>
      <c r="G16" s="122"/>
      <c r="H16" s="122"/>
      <c r="I16" s="122"/>
      <c r="J16" s="122"/>
      <c r="K16" s="122"/>
      <c r="L16" s="122"/>
      <c r="M16" s="122"/>
      <c r="N16" s="123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7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3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7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3"/>
    </row>
    <row r="17" spans="2:62" s="1" customFormat="1" x14ac:dyDescent="0.2">
      <c r="B17" s="98" t="s">
        <v>129</v>
      </c>
      <c r="C17" s="268">
        <f>(SUM('Income Statement - Monthly'!D23:D26)+'Income Statement - Monthly'!D33+SUM('Income Statement - Monthly'!D35:D39)+SUM('Income Statement - Monthly'!D13:D16))*APDaysOutstanding/30</f>
        <v>9866</v>
      </c>
      <c r="D17" s="269">
        <f>(SUM('Income Statement - Monthly'!E23:E26)+'Income Statement - Monthly'!E33+SUM('Income Statement - Monthly'!E35:E39)+SUM('Income Statement - Monthly'!E13:E16))*APDaysOutstanding/30</f>
        <v>15736</v>
      </c>
      <c r="E17" s="269">
        <f>(SUM('Income Statement - Monthly'!F23:F26)+'Income Statement - Monthly'!F33+SUM('Income Statement - Monthly'!F35:F39)+SUM('Income Statement - Monthly'!F13:F16))*APDaysOutstanding/30</f>
        <v>14301</v>
      </c>
      <c r="F17" s="269">
        <f>(SUM('Income Statement - Monthly'!G23:G26)+'Income Statement - Monthly'!G33+SUM('Income Statement - Monthly'!G35:G39)+SUM('Income Statement - Monthly'!G13:G16))*APDaysOutstanding/30</f>
        <v>46800.678</v>
      </c>
      <c r="G17" s="122">
        <f>(SUM('Income Statement - Monthly'!H23:H26)+'Income Statement - Monthly'!H33+SUM('Income Statement - Monthly'!H35:H39)+SUM('Income Statement - Monthly'!H13:H16))*APDaysOutstanding/30</f>
        <v>72584.942416642647</v>
      </c>
      <c r="H17" s="122">
        <f>(SUM('Income Statement - Monthly'!I23:I26)+'Income Statement - Monthly'!I33+SUM('Income Statement - Monthly'!I35:I39)+SUM('Income Statement - Monthly'!I13:I16))*APDaysOutstanding/30</f>
        <v>75652.651354642643</v>
      </c>
      <c r="I17" s="122">
        <f>(SUM('Income Statement - Monthly'!J23:J26)+'Income Statement - Monthly'!J33+SUM('Income Statement - Monthly'!J35:J39)+SUM('Income Statement - Monthly'!J13:J16))*APDaysOutstanding/30</f>
        <v>78774.497007682658</v>
      </c>
      <c r="J17" s="122">
        <f>(SUM('Income Statement - Monthly'!K23:K26)+'Income Statement - Monthly'!K33+SUM('Income Statement - Monthly'!K35:K39)+SUM('Income Statement - Monthly'!K13:K16))*APDaysOutstanding/30</f>
        <v>81702.490312965849</v>
      </c>
      <c r="K17" s="122">
        <f>(SUM('Income Statement - Monthly'!L23:L26)+'Income Statement - Monthly'!L33+SUM('Income Statement - Monthly'!L35:L39)+SUM('Income Statement - Monthly'!L13:L16))*APDaysOutstanding/30</f>
        <v>84560.643082671711</v>
      </c>
      <c r="L17" s="122">
        <f>(SUM('Income Statement - Monthly'!M23:M26)+'Income Statement - Monthly'!M33+SUM('Income Statement - Monthly'!M35:M39)+SUM('Income Statement - Monthly'!M13:M16))*APDaysOutstanding/30</f>
        <v>87348.968073954034</v>
      </c>
      <c r="M17" s="122">
        <f>(SUM('Income Statement - Monthly'!N23:N26)+'Income Statement - Monthly'!N33+SUM('Income Statement - Monthly'!N35:N39)+SUM('Income Statement - Monthly'!N13:N16))*APDaysOutstanding/30</f>
        <v>90077.479064538944</v>
      </c>
      <c r="N17" s="123">
        <f>(SUM('Income Statement - Monthly'!O23:O26)+'Income Statement - Monthly'!O33+SUM('Income Statement - Monthly'!O35:O39)+SUM('Income Statement - Monthly'!O13:O16))*APDaysOutstanding/30</f>
        <v>92726.19093437065</v>
      </c>
      <c r="O17" s="122">
        <f>(SUM('Income Statement - Monthly'!P23:P26)+'Income Statement - Monthly'!P33+SUM('Income Statement - Monthly'!P35:P39)+SUM('Income Statement - Monthly'!P13:P16))*APDaysOutstanding/30</f>
        <v>95905.119753788895</v>
      </c>
      <c r="P17" s="122">
        <f>(SUM('Income Statement - Monthly'!Q23:Q26)+'Income Statement - Monthly'!Q33+SUM('Income Statement - Monthly'!Q35:Q39)+SUM('Income Statement - Monthly'!Q13:Q16))*APDaysOutstanding/30</f>
        <v>98442.282878760583</v>
      </c>
      <c r="Q17" s="122">
        <f>(SUM('Income Statement - Monthly'!R23:R26)+'Income Statement - Monthly'!R33+SUM('Income Statement - Monthly'!R35:R39)+SUM('Income Statement - Monthly'!R13:R16))*APDaysOutstanding/30</f>
        <v>100919.69905373002</v>
      </c>
      <c r="R17" s="122">
        <f>(SUM('Income Statement - Monthly'!S23:S26)+'Income Statement - Monthly'!S33+SUM('Income Statement - Monthly'!S35:S39)+SUM('Income Statement - Monthly'!S13:S16))*APDaysOutstanding/30</f>
        <v>103331.388522697</v>
      </c>
      <c r="S17" s="122">
        <f>(SUM('Income Statement - Monthly'!T23:T26)+'Income Statement - Monthly'!T33+SUM('Income Statement - Monthly'!T35:T39)+SUM('Income Statement - Monthly'!T13:T16))*APDaysOutstanding/30</f>
        <v>105687.37314918138</v>
      </c>
      <c r="T17" s="122">
        <f>(SUM('Income Statement - Monthly'!U23:U26)+'Income Statement - Monthly'!U33+SUM('Income Statement - Monthly'!U35:U39)+SUM('Income Statement - Monthly'!U13:U16))*APDaysOutstanding/30</f>
        <v>107987.67654578447</v>
      </c>
      <c r="U17" s="122">
        <f>(SUM('Income Statement - Monthly'!V23:V26)+'Income Statement - Monthly'!V33+SUM('Income Statement - Monthly'!V35:V39)+SUM('Income Statement - Monthly'!V13:V16))*APDaysOutstanding/30</f>
        <v>110442.3242141158</v>
      </c>
      <c r="V17" s="122">
        <f>(SUM('Income Statement - Monthly'!W23:W26)+'Income Statement - Monthly'!W33+SUM('Income Statement - Monthly'!W35:W39)+SUM('Income Statement - Monthly'!W13:W16))*APDaysOutstanding/30</f>
        <v>112631.34369591365</v>
      </c>
      <c r="W17" s="122">
        <f>(SUM('Income Statement - Monthly'!X23:X26)+'Income Statement - Monthly'!X33+SUM('Income Statement - Monthly'!X35:X39)+SUM('Income Statement - Monthly'!X13:X16))*APDaysOutstanding/30</f>
        <v>114778.76473625533</v>
      </c>
      <c r="X17" s="122">
        <f>(SUM('Income Statement - Monthly'!Y23:Y26)+'Income Statement - Monthly'!Y33+SUM('Income Statement - Monthly'!Y35:Y39)+SUM('Income Statement - Monthly'!Y13:Y16))*APDaysOutstanding/30</f>
        <v>116870.61945982435</v>
      </c>
      <c r="Y17" s="122">
        <f>(SUM('Income Statement - Monthly'!Z23:Z26)+'Income Statement - Monthly'!Z33+SUM('Income Statement - Monthly'!Z35:Z39)+SUM('Income Statement - Monthly'!Z13:Z16))*APDaysOutstanding/30</f>
        <v>118930.94256127888</v>
      </c>
      <c r="Z17" s="122">
        <f>(SUM('Income Statement - Monthly'!AA23:AA26)+'Income Statement - Monthly'!AA33+SUM('Income Statement - Monthly'!AA35:AA39)+SUM('Income Statement - Monthly'!AA13:AA16))*APDaysOutstanding/30</f>
        <v>120939.77151084978</v>
      </c>
      <c r="AA17" s="127">
        <f>(SUM('Income Statement - Monthly'!AB23:AB26)+'Income Statement - Monthly'!AB33+SUM('Income Statement - Monthly'!AB35:AB39)+SUM('Income Statement - Monthly'!AB13:AB16))*APDaysOutstanding/30</f>
        <v>114031.0660847437</v>
      </c>
      <c r="AB17" s="122">
        <f>(SUM('Income Statement - Monthly'!AC23:AC26)+'Income Statement - Monthly'!AC33+SUM('Income Statement - Monthly'!AC35:AC39)+SUM('Income Statement - Monthly'!AC13:AC16))*APDaysOutstanding/30</f>
        <v>115957.03137152319</v>
      </c>
      <c r="AC17" s="122">
        <f>(SUM('Income Statement - Monthly'!AD23:AD26)+'Income Statement - Monthly'!AD33+SUM('Income Statement - Monthly'!AD35:AD39)+SUM('Income Statement - Monthly'!AD13:AD16))*APDaysOutstanding/30</f>
        <v>117841.63388124504</v>
      </c>
      <c r="AD17" s="122">
        <f>(SUM('Income Statement - Monthly'!AE23:AE26)+'Income Statement - Monthly'!AE33+SUM('Income Statement - Monthly'!AE35:AE39)+SUM('Income Statement - Monthly'!AE13:AE16))*APDaysOutstanding/30</f>
        <v>119694.92459174464</v>
      </c>
      <c r="AE17" s="122">
        <f>(SUM('Income Statement - Monthly'!AF23:AF26)+'Income Statement - Monthly'!AF33+SUM('Income Statement - Monthly'!AF35:AF39)+SUM('Income Statement - Monthly'!AF13:AF16))*APDaysOutstanding/30</f>
        <v>121496.95855908422</v>
      </c>
      <c r="AF17" s="122">
        <f>(SUM('Income Statement - Monthly'!AG23:AG26)+'Income Statement - Monthly'!AG33+SUM('Income Statement - Monthly'!AG35:AG39)+SUM('Income Statement - Monthly'!AG13:AG16))*APDaysOutstanding/30</f>
        <v>123271.79524381095</v>
      </c>
      <c r="AG17" s="122">
        <f>(SUM('Income Statement - Monthly'!AH23:AH26)+'Income Statement - Monthly'!AH33+SUM('Income Statement - Monthly'!AH35:AH39)+SUM('Income Statement - Monthly'!AH13:AH16))*APDaysOutstanding/30</f>
        <v>125019.49886331584</v>
      </c>
      <c r="AH17" s="122">
        <f>(SUM('Income Statement - Monthly'!AI23:AI26)+'Income Statement - Monthly'!AI33+SUM('Income Statement - Monthly'!AI35:AI39)+SUM('Income Statement - Monthly'!AI13:AI16))*APDaysOutstanding/30</f>
        <v>126740.13877238109</v>
      </c>
      <c r="AI17" s="122">
        <f>(SUM('Income Statement - Monthly'!AJ23:AJ26)+'Income Statement - Monthly'!AJ33+SUM('Income Statement - Monthly'!AJ35:AJ39)+SUM('Income Statement - Monthly'!AJ13:AJ16))*APDaysOutstanding/30</f>
        <v>128405.78987417159</v>
      </c>
      <c r="AJ17" s="122">
        <f>(SUM('Income Statement - Monthly'!AK23:AK26)+'Income Statement - Monthly'!AK33+SUM('Income Statement - Monthly'!AK35:AK39)+SUM('Income Statement - Monthly'!AK13:AK16))*APDaysOutstanding/30</f>
        <v>130068.53306410532</v>
      </c>
      <c r="AK17" s="122">
        <f>(SUM('Income Statement - Monthly'!AL23:AL26)+'Income Statement - Monthly'!AL33+SUM('Income Statement - Monthly'!AL35:AL39)+SUM('Income Statement - Monthly'!AL13:AL16))*APDaysOutstanding/30</f>
        <v>131694.45570923373</v>
      </c>
      <c r="AL17" s="123">
        <f>(SUM('Income Statement - Monthly'!AM23:AM26)+'Income Statement - Monthly'!AM33+SUM('Income Statement - Monthly'!AM35:AM39)+SUM('Income Statement - Monthly'!AM13:AM16))*APDaysOutstanding/30</f>
        <v>133293.65216597245</v>
      </c>
      <c r="AM17" s="122">
        <f>(SUM('Income Statement - Monthly'!AN23:AN26)+'Income Statement - Monthly'!AN33+SUM('Income Statement - Monthly'!AN35:AN39)+SUM('Income Statement - Monthly'!AN13:AN16))*APDaysOutstanding/30</f>
        <v>134880.22433925024</v>
      </c>
      <c r="AN17" s="122">
        <f>(SUM('Income Statement - Monthly'!AO23:AO26)+'Income Statement - Monthly'!AO33+SUM('Income Statement - Monthly'!AO35:AO39)+SUM('Income Statement - Monthly'!AO13:AO16))*APDaysOutstanding/30</f>
        <v>136440.28228639025</v>
      </c>
      <c r="AO17" s="122">
        <f>(SUM('Income Statement - Monthly'!AP23:AP26)+'Income Statement - Monthly'!AP33+SUM('Income Statement - Monthly'!AP35:AP39)+SUM('Income Statement - Monthly'!AP13:AP16))*APDaysOutstanding/30</f>
        <v>137973.94486930149</v>
      </c>
      <c r="AP17" s="122">
        <f>(SUM('Income Statement - Monthly'!AQ23:AQ26)+'Income Statement - Monthly'!AQ33+SUM('Income Statement - Monthly'!AQ35:AQ39)+SUM('Income Statement - Monthly'!AQ13:AQ16))*APDaysOutstanding/30</f>
        <v>139519.3404588456</v>
      </c>
      <c r="AQ17" s="122">
        <f>(SUM('Income Statement - Monthly'!AR23:AR26)+'Income Statement - Monthly'!AR33+SUM('Income Statement - Monthly'!AR35:AR39)+SUM('Income Statement - Monthly'!AR13:AR16))*APDaysOutstanding/30</f>
        <v>141028.60769555325</v>
      </c>
      <c r="AR17" s="122">
        <f>(SUM('Income Statement - Monthly'!AS23:AS26)+'Income Statement - Monthly'!AS33+SUM('Income Statement - Monthly'!AS35:AS39)+SUM('Income Statement - Monthly'!AS13:AS16))*APDaysOutstanding/30</f>
        <v>142525.89631119749</v>
      </c>
      <c r="AS17" s="122">
        <f>(SUM('Income Statement - Monthly'!AT23:AT26)+'Income Statement - Monthly'!AT33+SUM('Income Statement - Monthly'!AT35:AT39)+SUM('Income Statement - Monthly'!AT13:AT16))*APDaysOutstanding/30</f>
        <v>144025.3680160933</v>
      </c>
      <c r="AT17" s="122">
        <f>(SUM('Income Statement - Monthly'!AU23:AU26)+'Income Statement - Monthly'!AU33+SUM('Income Statement - Monthly'!AU35:AU39)+SUM('Income Statement - Monthly'!AU13:AU16))*APDaysOutstanding/30</f>
        <v>145513.19745738077</v>
      </c>
      <c r="AU17" s="122">
        <f>(SUM('Income Statement - Monthly'!AV23:AV26)+'Income Statement - Monthly'!AV33+SUM('Income Statement - Monthly'!AV35:AV39)+SUM('Income Statement - Monthly'!AV13:AV16))*APDaysOutstanding/30</f>
        <v>146989.57325397123</v>
      </c>
      <c r="AV17" s="122">
        <f>(SUM('Income Statement - Monthly'!AW23:AW26)+'Income Statement - Monthly'!AW33+SUM('Income Statement - Monthly'!AW35:AW39)+SUM('Income Statement - Monthly'!AW13:AW16))*APDaysOutstanding/30</f>
        <v>148468.69911428893</v>
      </c>
      <c r="AW17" s="122">
        <f>(SUM('Income Statement - Monthly'!AX23:AX26)+'Income Statement - Monthly'!AX33+SUM('Income Statement - Monthly'!AX35:AX39)+SUM('Income Statement - Monthly'!AX13:AX16))*APDaysOutstanding/30</f>
        <v>149960.79504343204</v>
      </c>
      <c r="AX17" s="127">
        <f>(SUM('Income Statement - Monthly'!AY23:AY26)+'Income Statement - Monthly'!AY33+SUM('Income Statement - Monthly'!AY35:AY39)+SUM('Income Statement - Monthly'!AY13:AY16))*APDaysOutstanding/30</f>
        <v>151446.09864690661</v>
      </c>
      <c r="AY17" s="122">
        <f>(SUM('Income Statement - Monthly'!AZ23:AZ26)+'Income Statement - Monthly'!AZ33+SUM('Income Statement - Monthly'!AZ35:AZ39)+SUM('Income Statement - Monthly'!AZ13:AZ16))*APDaysOutstanding/30</f>
        <v>152934.86653865915</v>
      </c>
      <c r="AZ17" s="122">
        <f>(SUM('Income Statement - Monthly'!BA23:BA26)+'Income Statement - Monthly'!BA33+SUM('Income Statement - Monthly'!BA35:BA39)+SUM('Income Statement - Monthly'!BA13:BA16))*APDaysOutstanding/30</f>
        <v>154455.37586175185</v>
      </c>
      <c r="BA17" s="122">
        <f>(SUM('Income Statement - Monthly'!BB23:BB26)+'Income Statement - Monthly'!BB33+SUM('Income Statement - Monthly'!BB35:BB39)+SUM('Income Statement - Monthly'!BB13:BB16))*APDaysOutstanding/30</f>
        <v>155979.925930692</v>
      </c>
      <c r="BB17" s="122">
        <f>(SUM('Income Statement - Monthly'!BC23:BC26)+'Income Statement - Monthly'!BC33+SUM('Income Statement - Monthly'!BC35:BC39)+SUM('Income Statement - Monthly'!BC13:BC16))*APDaysOutstanding/30</f>
        <v>157522.84000514739</v>
      </c>
      <c r="BC17" s="122">
        <f>(SUM('Income Statement - Monthly'!BD23:BD26)+'Income Statement - Monthly'!BD33+SUM('Income Statement - Monthly'!BD35:BD39)+SUM('Income Statement - Monthly'!BD13:BD16))*APDaysOutstanding/30</f>
        <v>159108.46720555917</v>
      </c>
      <c r="BD17" s="122">
        <f>(SUM('Income Statement - Monthly'!BE23:BE26)+'Income Statement - Monthly'!BE33+SUM('Income Statement - Monthly'!BE35:BE39)+SUM('Income Statement - Monthly'!BE13:BE16))*APDaysOutstanding/30</f>
        <v>160703.18458200392</v>
      </c>
      <c r="BE17" s="122">
        <f>(SUM('Income Statement - Monthly'!BF23:BF26)+'Income Statement - Monthly'!BF33+SUM('Income Statement - Monthly'!BF35:BF39)+SUM('Income Statement - Monthly'!BF13:BF16))*APDaysOutstanding/30</f>
        <v>162317.39934856418</v>
      </c>
      <c r="BF17" s="122">
        <f>(SUM('Income Statement - Monthly'!BG23:BG26)+'Income Statement - Monthly'!BG33+SUM('Income Statement - Monthly'!BG35:BG39)+SUM('Income Statement - Monthly'!BG13:BG16))*APDaysOutstanding/30</f>
        <v>163979.55129644932</v>
      </c>
      <c r="BG17" s="122">
        <f>(SUM('Income Statement - Monthly'!BH23:BH26)+'Income Statement - Monthly'!BH33+SUM('Income Statement - Monthly'!BH35:BH39)+SUM('Income Statement - Monthly'!BH13:BH16))*APDaysOutstanding/30</f>
        <v>165690.11540016529</v>
      </c>
      <c r="BH17" s="122">
        <f>(SUM('Income Statement - Monthly'!BI23:BI26)+'Income Statement - Monthly'!BI33+SUM('Income Statement - Monthly'!BI35:BI39)+SUM('Income Statement - Monthly'!BI13:BI16))*APDaysOutstanding/30</f>
        <v>167449.6046321785</v>
      </c>
      <c r="BI17" s="122">
        <f>(SUM('Income Statement - Monthly'!BJ23:BJ26)+'Income Statement - Monthly'!BJ33+SUM('Income Statement - Monthly'!BJ35:BJ39)+SUM('Income Statement - Monthly'!BJ13:BJ16))*APDaysOutstanding/30</f>
        <v>169268.57300275279</v>
      </c>
      <c r="BJ17" s="123">
        <f>(SUM('Income Statement - Monthly'!BK23:BK26)+'Income Statement - Monthly'!BK33+SUM('Income Statement - Monthly'!BK35:BK39)+SUM('Income Statement - Monthly'!BK13:BK16))*APDaysOutstanding/30</f>
        <v>171141.61884297302</v>
      </c>
    </row>
    <row r="18" spans="2:62" x14ac:dyDescent="0.2">
      <c r="B18" s="98" t="s">
        <v>130</v>
      </c>
      <c r="C18" s="268"/>
      <c r="D18" s="269"/>
      <c r="E18" s="269"/>
      <c r="F18" s="269"/>
      <c r="G18" s="122"/>
      <c r="H18" s="122"/>
      <c r="I18" s="122"/>
      <c r="J18" s="122"/>
      <c r="K18" s="122"/>
      <c r="L18" s="122"/>
      <c r="M18" s="122"/>
      <c r="N18" s="123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7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3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7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3"/>
    </row>
    <row r="19" spans="2:62" ht="17" thickBot="1" x14ac:dyDescent="0.25">
      <c r="B19" s="98" t="s">
        <v>131</v>
      </c>
      <c r="C19" s="268"/>
      <c r="D19" s="269"/>
      <c r="E19" s="269"/>
      <c r="F19" s="269"/>
      <c r="G19" s="122"/>
      <c r="H19" s="122"/>
      <c r="I19" s="122"/>
      <c r="J19" s="122"/>
      <c r="K19" s="122"/>
      <c r="L19" s="122"/>
      <c r="M19" s="122"/>
      <c r="N19" s="123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7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3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7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3"/>
    </row>
    <row r="20" spans="2:62" ht="17" thickBot="1" x14ac:dyDescent="0.25">
      <c r="B20" s="112" t="s">
        <v>25</v>
      </c>
      <c r="C20" s="266">
        <f t="shared" ref="C20:AH20" si="51">SUM(C17:C19)</f>
        <v>9866</v>
      </c>
      <c r="D20" s="267">
        <f t="shared" si="51"/>
        <v>15736</v>
      </c>
      <c r="E20" s="267">
        <f t="shared" si="51"/>
        <v>14301</v>
      </c>
      <c r="F20" s="267">
        <f t="shared" si="51"/>
        <v>46800.678</v>
      </c>
      <c r="G20" s="113">
        <f t="shared" si="51"/>
        <v>72584.942416642647</v>
      </c>
      <c r="H20" s="113">
        <f t="shared" si="51"/>
        <v>75652.651354642643</v>
      </c>
      <c r="I20" s="113">
        <f t="shared" si="51"/>
        <v>78774.497007682658</v>
      </c>
      <c r="J20" s="113">
        <f t="shared" si="51"/>
        <v>81702.490312965849</v>
      </c>
      <c r="K20" s="113">
        <f t="shared" si="51"/>
        <v>84560.643082671711</v>
      </c>
      <c r="L20" s="113">
        <f t="shared" si="51"/>
        <v>87348.968073954034</v>
      </c>
      <c r="M20" s="113">
        <f t="shared" si="51"/>
        <v>90077.479064538944</v>
      </c>
      <c r="N20" s="114">
        <f t="shared" si="51"/>
        <v>92726.19093437065</v>
      </c>
      <c r="O20" s="113">
        <f t="shared" si="51"/>
        <v>95905.119753788895</v>
      </c>
      <c r="P20" s="113">
        <f t="shared" si="51"/>
        <v>98442.282878760583</v>
      </c>
      <c r="Q20" s="113">
        <f t="shared" si="51"/>
        <v>100919.69905373002</v>
      </c>
      <c r="R20" s="113">
        <f t="shared" si="51"/>
        <v>103331.388522697</v>
      </c>
      <c r="S20" s="113">
        <f t="shared" si="51"/>
        <v>105687.37314918138</v>
      </c>
      <c r="T20" s="113">
        <f t="shared" si="51"/>
        <v>107987.67654578447</v>
      </c>
      <c r="U20" s="113">
        <f t="shared" si="51"/>
        <v>110442.3242141158</v>
      </c>
      <c r="V20" s="113">
        <f t="shared" si="51"/>
        <v>112631.34369591365</v>
      </c>
      <c r="W20" s="113">
        <f t="shared" si="51"/>
        <v>114778.76473625533</v>
      </c>
      <c r="X20" s="113">
        <f t="shared" si="51"/>
        <v>116870.61945982435</v>
      </c>
      <c r="Y20" s="113">
        <f t="shared" si="51"/>
        <v>118930.94256127888</v>
      </c>
      <c r="Z20" s="113">
        <f t="shared" si="51"/>
        <v>120939.77151084978</v>
      </c>
      <c r="AA20" s="117">
        <f t="shared" si="51"/>
        <v>114031.0660847437</v>
      </c>
      <c r="AB20" s="113">
        <f t="shared" si="51"/>
        <v>115957.03137152319</v>
      </c>
      <c r="AC20" s="113">
        <f t="shared" si="51"/>
        <v>117841.63388124504</v>
      </c>
      <c r="AD20" s="113">
        <f t="shared" si="51"/>
        <v>119694.92459174464</v>
      </c>
      <c r="AE20" s="113">
        <f t="shared" si="51"/>
        <v>121496.95855908422</v>
      </c>
      <c r="AF20" s="113">
        <f t="shared" si="51"/>
        <v>123271.79524381095</v>
      </c>
      <c r="AG20" s="113">
        <f t="shared" si="51"/>
        <v>125019.49886331584</v>
      </c>
      <c r="AH20" s="113">
        <f t="shared" si="51"/>
        <v>126740.13877238109</v>
      </c>
      <c r="AI20" s="113">
        <f t="shared" ref="AI20:BJ20" si="52">SUM(AI17:AI19)</f>
        <v>128405.78987417159</v>
      </c>
      <c r="AJ20" s="113">
        <f t="shared" si="52"/>
        <v>130068.53306410532</v>
      </c>
      <c r="AK20" s="113">
        <f t="shared" si="52"/>
        <v>131694.45570923373</v>
      </c>
      <c r="AL20" s="114">
        <f t="shared" si="52"/>
        <v>133293.65216597245</v>
      </c>
      <c r="AM20" s="113">
        <f t="shared" si="52"/>
        <v>134880.22433925024</v>
      </c>
      <c r="AN20" s="113">
        <f t="shared" si="52"/>
        <v>136440.28228639025</v>
      </c>
      <c r="AO20" s="113">
        <f t="shared" si="52"/>
        <v>137973.94486930149</v>
      </c>
      <c r="AP20" s="113">
        <f t="shared" si="52"/>
        <v>139519.3404588456</v>
      </c>
      <c r="AQ20" s="113">
        <f t="shared" si="52"/>
        <v>141028.60769555325</v>
      </c>
      <c r="AR20" s="113">
        <f t="shared" si="52"/>
        <v>142525.89631119749</v>
      </c>
      <c r="AS20" s="113">
        <f t="shared" si="52"/>
        <v>144025.3680160933</v>
      </c>
      <c r="AT20" s="113">
        <f t="shared" si="52"/>
        <v>145513.19745738077</v>
      </c>
      <c r="AU20" s="113">
        <f t="shared" si="52"/>
        <v>146989.57325397123</v>
      </c>
      <c r="AV20" s="113">
        <f t="shared" si="52"/>
        <v>148468.69911428893</v>
      </c>
      <c r="AW20" s="113">
        <f t="shared" si="52"/>
        <v>149960.79504343204</v>
      </c>
      <c r="AX20" s="117">
        <f t="shared" si="52"/>
        <v>151446.09864690661</v>
      </c>
      <c r="AY20" s="113">
        <f t="shared" si="52"/>
        <v>152934.86653865915</v>
      </c>
      <c r="AZ20" s="113">
        <f t="shared" si="52"/>
        <v>154455.37586175185</v>
      </c>
      <c r="BA20" s="113">
        <f t="shared" si="52"/>
        <v>155979.925930692</v>
      </c>
      <c r="BB20" s="113">
        <f t="shared" si="52"/>
        <v>157522.84000514739</v>
      </c>
      <c r="BC20" s="113">
        <f t="shared" si="52"/>
        <v>159108.46720555917</v>
      </c>
      <c r="BD20" s="113">
        <f t="shared" si="52"/>
        <v>160703.18458200392</v>
      </c>
      <c r="BE20" s="113">
        <f t="shared" si="52"/>
        <v>162317.39934856418</v>
      </c>
      <c r="BF20" s="113">
        <f t="shared" si="52"/>
        <v>163979.55129644932</v>
      </c>
      <c r="BG20" s="113">
        <f t="shared" si="52"/>
        <v>165690.11540016529</v>
      </c>
      <c r="BH20" s="113">
        <f t="shared" si="52"/>
        <v>167449.6046321785</v>
      </c>
      <c r="BI20" s="113">
        <f t="shared" si="52"/>
        <v>169268.57300275279</v>
      </c>
      <c r="BJ20" s="114">
        <f t="shared" si="52"/>
        <v>171141.61884297302</v>
      </c>
    </row>
    <row r="21" spans="2:62" x14ac:dyDescent="0.2">
      <c r="B21" s="2"/>
      <c r="C21" s="268"/>
      <c r="D21" s="269"/>
      <c r="E21" s="269"/>
      <c r="F21" s="269"/>
      <c r="G21" s="122"/>
      <c r="H21" s="122"/>
      <c r="I21" s="122"/>
      <c r="J21" s="122"/>
      <c r="K21" s="122"/>
      <c r="L21" s="122"/>
      <c r="M21" s="122"/>
      <c r="N21" s="123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7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3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7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3"/>
    </row>
    <row r="22" spans="2:62" x14ac:dyDescent="0.2">
      <c r="B22" s="126" t="s">
        <v>132</v>
      </c>
      <c r="C22" s="268"/>
      <c r="D22" s="269"/>
      <c r="E22" s="269"/>
      <c r="F22" s="269"/>
      <c r="G22" s="122"/>
      <c r="H22" s="122"/>
      <c r="I22" s="122"/>
      <c r="J22" s="122"/>
      <c r="K22" s="122"/>
      <c r="L22" s="122"/>
      <c r="M22" s="122"/>
      <c r="N22" s="123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7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3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7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3"/>
    </row>
    <row r="23" spans="2:62" x14ac:dyDescent="0.2">
      <c r="B23" s="98" t="s">
        <v>133</v>
      </c>
      <c r="C23" s="268">
        <f>OpeningCapitalStock+'Cash Flow - Monthly'!C22</f>
        <v>250000</v>
      </c>
      <c r="D23" s="269">
        <f>C23+'Cash Flow - Monthly'!D22</f>
        <v>250000</v>
      </c>
      <c r="E23" s="269">
        <f>D23+'Cash Flow - Monthly'!E22</f>
        <v>750000</v>
      </c>
      <c r="F23" s="269">
        <f>E23+'Cash Flow - Monthly'!F22</f>
        <v>750000</v>
      </c>
      <c r="G23" s="122">
        <f>F23+'Cash Flow - Monthly'!G22</f>
        <v>750000</v>
      </c>
      <c r="H23" s="122">
        <f>G23+'Cash Flow - Monthly'!H22</f>
        <v>750000</v>
      </c>
      <c r="I23" s="122">
        <f>H23+'Cash Flow - Monthly'!I22</f>
        <v>750000</v>
      </c>
      <c r="J23" s="122">
        <f>I23+'Cash Flow - Monthly'!J22</f>
        <v>750000</v>
      </c>
      <c r="K23" s="122">
        <f>J23+'Cash Flow - Monthly'!K22</f>
        <v>750000</v>
      </c>
      <c r="L23" s="122">
        <f>K23+'Cash Flow - Monthly'!L22</f>
        <v>750000</v>
      </c>
      <c r="M23" s="122">
        <f>L23+'Cash Flow - Monthly'!M22</f>
        <v>750000</v>
      </c>
      <c r="N23" s="123">
        <f>M23+'Cash Flow - Monthly'!N22</f>
        <v>750000</v>
      </c>
      <c r="O23" s="122">
        <f>N23+'Cash Flow - Monthly'!O22</f>
        <v>750000</v>
      </c>
      <c r="P23" s="122">
        <f>O23+'Cash Flow - Monthly'!P22</f>
        <v>750000</v>
      </c>
      <c r="Q23" s="122">
        <f>P23+'Cash Flow - Monthly'!Q22</f>
        <v>750000</v>
      </c>
      <c r="R23" s="122">
        <f>Q23+'Cash Flow - Monthly'!R22</f>
        <v>750000</v>
      </c>
      <c r="S23" s="122">
        <f>R23+'Cash Flow - Monthly'!S22</f>
        <v>750000</v>
      </c>
      <c r="T23" s="122">
        <f>S23+'Cash Flow - Monthly'!T22</f>
        <v>750000</v>
      </c>
      <c r="U23" s="122">
        <f>T23+'Cash Flow - Monthly'!U22</f>
        <v>1750000</v>
      </c>
      <c r="V23" s="122">
        <f>U23+'Cash Flow - Monthly'!V22</f>
        <v>1750000</v>
      </c>
      <c r="W23" s="122">
        <f>V23+'Cash Flow - Monthly'!W22</f>
        <v>1750000</v>
      </c>
      <c r="X23" s="122">
        <f>W23+'Cash Flow - Monthly'!X22</f>
        <v>1750000</v>
      </c>
      <c r="Y23" s="122">
        <f>X23+'Cash Flow - Monthly'!Y22</f>
        <v>1750000</v>
      </c>
      <c r="Z23" s="122">
        <f>Y23+'Cash Flow - Monthly'!Z22</f>
        <v>1750000</v>
      </c>
      <c r="AA23" s="127">
        <f>Z23+'Cash Flow - Monthly'!AA22</f>
        <v>1750000</v>
      </c>
      <c r="AB23" s="122">
        <f>AA23+'Cash Flow - Monthly'!AB22</f>
        <v>1750000</v>
      </c>
      <c r="AC23" s="122">
        <f>AB23+'Cash Flow - Monthly'!AC22</f>
        <v>1750000</v>
      </c>
      <c r="AD23" s="122">
        <f>AC23+'Cash Flow - Monthly'!AD22</f>
        <v>1750000</v>
      </c>
      <c r="AE23" s="122">
        <f>AD23+'Cash Flow - Monthly'!AE22</f>
        <v>1750000</v>
      </c>
      <c r="AF23" s="122">
        <f>AE23+'Cash Flow - Monthly'!AF22</f>
        <v>1750000</v>
      </c>
      <c r="AG23" s="122">
        <f>AF23+'Cash Flow - Monthly'!AG22</f>
        <v>1750000</v>
      </c>
      <c r="AH23" s="122">
        <f>AG23+'Cash Flow - Monthly'!AH22</f>
        <v>1750000</v>
      </c>
      <c r="AI23" s="122">
        <f>AH23+'Cash Flow - Monthly'!AI22</f>
        <v>1750000</v>
      </c>
      <c r="AJ23" s="122">
        <f>AI23+'Cash Flow - Monthly'!AJ22</f>
        <v>1750000</v>
      </c>
      <c r="AK23" s="122">
        <f>AJ23+'Cash Flow - Monthly'!AK22</f>
        <v>1750000</v>
      </c>
      <c r="AL23" s="123">
        <f>AK23+'Cash Flow - Monthly'!AL22</f>
        <v>1750000</v>
      </c>
      <c r="AM23" s="122">
        <f>AL23+'Cash Flow - Monthly'!AM22</f>
        <v>1750000</v>
      </c>
      <c r="AN23" s="122">
        <f>AM23+'Cash Flow - Monthly'!AN22</f>
        <v>1750000</v>
      </c>
      <c r="AO23" s="122">
        <f>AN23+'Cash Flow - Monthly'!AO22</f>
        <v>1750000</v>
      </c>
      <c r="AP23" s="122">
        <f>AO23+'Cash Flow - Monthly'!AP22</f>
        <v>1750000</v>
      </c>
      <c r="AQ23" s="122">
        <f>AP23+'Cash Flow - Monthly'!AQ22</f>
        <v>1750000</v>
      </c>
      <c r="AR23" s="122">
        <f>AQ23+'Cash Flow - Monthly'!AR22</f>
        <v>1750000</v>
      </c>
      <c r="AS23" s="122">
        <f>AR23+'Cash Flow - Monthly'!AS22</f>
        <v>1750000</v>
      </c>
      <c r="AT23" s="122">
        <f>AS23+'Cash Flow - Monthly'!AT22</f>
        <v>1750000</v>
      </c>
      <c r="AU23" s="122">
        <f>AT23+'Cash Flow - Monthly'!AU22</f>
        <v>1750000</v>
      </c>
      <c r="AV23" s="122">
        <f>AU23+'Cash Flow - Monthly'!AV22</f>
        <v>1750000</v>
      </c>
      <c r="AW23" s="122">
        <f>AV23+'Cash Flow - Monthly'!AW22</f>
        <v>1750000</v>
      </c>
      <c r="AX23" s="127">
        <f>AW23+'Cash Flow - Monthly'!AX22</f>
        <v>1750000</v>
      </c>
      <c r="AY23" s="122">
        <f>AX23+'Cash Flow - Monthly'!AY22</f>
        <v>1750000</v>
      </c>
      <c r="AZ23" s="122">
        <f>AY23+'Cash Flow - Monthly'!AZ22</f>
        <v>1750000</v>
      </c>
      <c r="BA23" s="122">
        <f>AZ23+'Cash Flow - Monthly'!BA22</f>
        <v>1750000</v>
      </c>
      <c r="BB23" s="122">
        <f>BA23+'Cash Flow - Monthly'!BB22</f>
        <v>1750000</v>
      </c>
      <c r="BC23" s="122">
        <f>BB23+'Cash Flow - Monthly'!BC22</f>
        <v>1750000</v>
      </c>
      <c r="BD23" s="122">
        <f>BC23+'Cash Flow - Monthly'!BD22</f>
        <v>1750000</v>
      </c>
      <c r="BE23" s="122">
        <f>BD23+'Cash Flow - Monthly'!BE22</f>
        <v>1750000</v>
      </c>
      <c r="BF23" s="122">
        <f>BE23+'Cash Flow - Monthly'!BF22</f>
        <v>1750000</v>
      </c>
      <c r="BG23" s="122">
        <f>BF23+'Cash Flow - Monthly'!BG22</f>
        <v>1750000</v>
      </c>
      <c r="BH23" s="122">
        <f>BG23+'Cash Flow - Monthly'!BH22</f>
        <v>1750000</v>
      </c>
      <c r="BI23" s="122">
        <f>BH23+'Cash Flow - Monthly'!BI22</f>
        <v>1750000</v>
      </c>
      <c r="BJ23" s="123">
        <f>BI23+'Cash Flow - Monthly'!BJ22</f>
        <v>1750000</v>
      </c>
    </row>
    <row r="24" spans="2:62" ht="17" thickBot="1" x14ac:dyDescent="0.25">
      <c r="B24" s="98" t="s">
        <v>134</v>
      </c>
      <c r="C24" s="268">
        <f>C14-C20-C23</f>
        <v>-191948.5</v>
      </c>
      <c r="D24" s="269">
        <f>C24+'Income Statement - Monthly'!E47</f>
        <v>-223949.88722222223</v>
      </c>
      <c r="E24" s="269">
        <f>D24+'Income Statement - Monthly'!F47</f>
        <v>-240929.98295740742</v>
      </c>
      <c r="F24" s="269">
        <f>E24+'Income Statement - Monthly'!G47</f>
        <v>-274426.87699637114</v>
      </c>
      <c r="G24" s="122">
        <f>F24+'Income Statement - Monthly'!H47</f>
        <v>-320716.12054319284</v>
      </c>
      <c r="H24" s="122">
        <f>G24+'Income Statement - Monthly'!I47</f>
        <v>-362467.1936247251</v>
      </c>
      <c r="I24" s="122">
        <f>H24+'Income Statement - Monthly'!J47</f>
        <v>-411583.11315385683</v>
      </c>
      <c r="J24" s="122">
        <f>I24+'Income Statement - Monthly'!K47</f>
        <v>-456453.89927062177</v>
      </c>
      <c r="K24" s="122">
        <f>J24+'Income Statement - Monthly'!L47</f>
        <v>-497170.64150100382</v>
      </c>
      <c r="L24" s="122">
        <f>K24+'Income Statement - Monthly'!M47</f>
        <v>-533824.31303372886</v>
      </c>
      <c r="M24" s="122">
        <f>L24+'Income Statement - Monthly'!N47</f>
        <v>-567166.16423495288</v>
      </c>
      <c r="N24" s="123">
        <f>M24+'Income Statement - Monthly'!O47</f>
        <v>-596629.88815353101</v>
      </c>
      <c r="O24" s="122">
        <f>N24+'Income Statement - Monthly'!P47</f>
        <v>-634073.99307781132</v>
      </c>
      <c r="P24" s="122">
        <f>O24+'Income Statement - Monthly'!Q47</f>
        <v>-667828.56059855735</v>
      </c>
      <c r="Q24" s="122">
        <f>P24+'Income Statement - Monthly'!R47</f>
        <v>-698647.90100416134</v>
      </c>
      <c r="R24" s="122">
        <f>Q24+'Income Statement - Monthly'!S47</f>
        <v>-725945.82565035601</v>
      </c>
      <c r="S24" s="122">
        <f>R24+'Income Statement - Monthly'!T47</f>
        <v>-749794.18806641572</v>
      </c>
      <c r="T24" s="122">
        <f>S24+'Income Statement - Monthly'!U47</f>
        <v>-770265.00328659033</v>
      </c>
      <c r="U24" s="122">
        <f>T24+'Income Statement - Monthly'!V47</f>
        <v>-810290.47814791172</v>
      </c>
      <c r="V24" s="122">
        <f>U24+'Income Statement - Monthly'!W47</f>
        <v>-843825.17473641678</v>
      </c>
      <c r="W24" s="122">
        <f>V24+'Income Statement - Monthly'!X47</f>
        <v>-874243.84740274108</v>
      </c>
      <c r="X24" s="122">
        <f>W24+'Income Statement - Monthly'!Y47</f>
        <v>-901619.37640094606</v>
      </c>
      <c r="Y24" s="122">
        <f>X24+'Income Statement - Monthly'!Z47</f>
        <v>-926663.84844597732</v>
      </c>
      <c r="Z24" s="122">
        <f>Y24+'Income Statement - Monthly'!AA47</f>
        <v>-948771.59048400423</v>
      </c>
      <c r="AA24" s="127">
        <f>Z24+'Income Statement - Monthly'!AB47</f>
        <v>-1005228.3300500438</v>
      </c>
      <c r="AB24" s="122">
        <f>AA24+'Income Statement - Monthly'!AC47</f>
        <v>-1058991.8990949751</v>
      </c>
      <c r="AC24" s="122">
        <f>AB24+'Income Statement - Monthly'!AD47</f>
        <v>-1110100.4088329102</v>
      </c>
      <c r="AD24" s="122">
        <f>AC24+'Income Statement - Monthly'!AE47</f>
        <v>-1159266.7945365207</v>
      </c>
      <c r="AE24" s="122">
        <f>AD24+'Income Statement - Monthly'!AF47</f>
        <v>-1205886.2304336827</v>
      </c>
      <c r="AF24" s="122">
        <f>AE24+'Income Statement - Monthly'!AG47</f>
        <v>-1249990.8288376711</v>
      </c>
      <c r="AG24" s="122">
        <f>AF24+'Income Statement - Monthly'!AH47</f>
        <v>-1291612.6251078155</v>
      </c>
      <c r="AH24" s="122">
        <f>AG24+'Income Statement - Monthly'!AI47</f>
        <v>-1330783.6301733882</v>
      </c>
      <c r="AI24" s="122">
        <f>AH24+'Income Statement - Monthly'!AJ47</f>
        <v>-1367577.8199550025</v>
      </c>
      <c r="AJ24" s="122">
        <f>AI24+'Income Statement - Monthly'!AK47</f>
        <v>-1402666.3222443112</v>
      </c>
      <c r="AK24" s="122">
        <f>AJ24+'Income Statement - Monthly'!AL47</f>
        <v>-1435423.2157996802</v>
      </c>
      <c r="AL24" s="123">
        <f>AK24+'Income Statement - Monthly'!AM47</f>
        <v>-1465880.4102926708</v>
      </c>
      <c r="AM24" s="122">
        <f>AL24+'Income Statement - Monthly'!AN47</f>
        <v>-1494048.6956298035</v>
      </c>
      <c r="AN24" s="122">
        <f>AM24+'Income Statement - Monthly'!AO47</f>
        <v>-1519959.6602962252</v>
      </c>
      <c r="AO24" s="122">
        <f>AN24+'Income Statement - Monthly'!AP47</f>
        <v>-1543644.8023599535</v>
      </c>
      <c r="AP24" s="122">
        <f>AO24+'Income Statement - Monthly'!AQ47</f>
        <v>-1565753.4820135196</v>
      </c>
      <c r="AQ24" s="122">
        <f>AP24+'Income Statement - Monthly'!AR47</f>
        <v>-1585658.870018193</v>
      </c>
      <c r="AR24" s="122">
        <f>AQ24+'Income Statement - Monthly'!AS47</f>
        <v>-1603370.8894219918</v>
      </c>
      <c r="AS24" s="122">
        <f>AR24+'Income Statement - Monthly'!AT47</f>
        <v>-1618878.1279047083</v>
      </c>
      <c r="AT24" s="122">
        <f>AS24+'Income Statement - Monthly'!AU47</f>
        <v>-1632189.7755177447</v>
      </c>
      <c r="AU24" s="122">
        <f>AT24+'Income Statement - Monthly'!AV47</f>
        <v>-1643314.7252583655</v>
      </c>
      <c r="AV24" s="122">
        <f>AU24+'Income Statement - Monthly'!AW47</f>
        <v>-1652240.5143645061</v>
      </c>
      <c r="AW24" s="122">
        <f>AV24+'Income Statement - Monthly'!AX47</f>
        <v>-1659614.1931300289</v>
      </c>
      <c r="AX24" s="127">
        <f>AW24+'Income Statement - Monthly'!AY47</f>
        <v>-1664764.4858161209</v>
      </c>
      <c r="AY24" s="122">
        <f>AX24+'Income Statement - Monthly'!AZ47</f>
        <v>-1667677.4602684919</v>
      </c>
      <c r="AZ24" s="122">
        <f>AY24+'Income Statement - Monthly'!BA47</f>
        <v>-1668296.5802229489</v>
      </c>
      <c r="BA24" s="122">
        <f>AZ24+'Income Statement - Monthly'!BB47</f>
        <v>-1666606.4963448117</v>
      </c>
      <c r="BB24" s="122">
        <f>BA24+'Income Statement - Monthly'!BC47</f>
        <v>-1662570.2548827098</v>
      </c>
      <c r="BC24" s="122">
        <f>BB24+'Income Statement - Monthly'!BD47</f>
        <v>-1656789.0892270135</v>
      </c>
      <c r="BD24" s="122">
        <f>BC24+'Income Statement - Monthly'!BE47</f>
        <v>-1648566.4610259798</v>
      </c>
      <c r="BE24" s="122">
        <f>BD24+'Income Statement - Monthly'!BF47</f>
        <v>-1637862.8355450055</v>
      </c>
      <c r="BF24" s="122">
        <f>BE24+'Income Statement - Monthly'!BG47</f>
        <v>-1624595.6808782823</v>
      </c>
      <c r="BG24" s="122">
        <f>BF24+'Income Statement - Monthly'!BH47</f>
        <v>-1608681.2330604596</v>
      </c>
      <c r="BH24" s="122">
        <f>BG24+'Income Statement - Monthly'!BI47</f>
        <v>-1590034.4784035236</v>
      </c>
      <c r="BI24" s="122">
        <f>BH24+'Income Statement - Monthly'!BJ47</f>
        <v>-1569229.0716902995</v>
      </c>
      <c r="BJ24" s="123">
        <f>BI24+'Income Statement - Monthly'!BK47</f>
        <v>-1545498.4145506718</v>
      </c>
    </row>
    <row r="25" spans="2:62" ht="17" thickBot="1" x14ac:dyDescent="0.25">
      <c r="B25" s="112" t="s">
        <v>135</v>
      </c>
      <c r="C25" s="301">
        <f t="shared" ref="C25:P25" si="53">SUM(C23:C24)</f>
        <v>58051.5</v>
      </c>
      <c r="D25" s="302">
        <f t="shared" si="53"/>
        <v>26050.112777777773</v>
      </c>
      <c r="E25" s="302">
        <f t="shared" si="53"/>
        <v>509070.01704259258</v>
      </c>
      <c r="F25" s="302">
        <f t="shared" si="53"/>
        <v>475573.12300362886</v>
      </c>
      <c r="G25" s="115">
        <f t="shared" si="53"/>
        <v>429283.87945680716</v>
      </c>
      <c r="H25" s="115">
        <f t="shared" si="53"/>
        <v>387532.8063752749</v>
      </c>
      <c r="I25" s="115">
        <f t="shared" si="53"/>
        <v>338416.88684614317</v>
      </c>
      <c r="J25" s="115">
        <f t="shared" si="53"/>
        <v>293546.10072937823</v>
      </c>
      <c r="K25" s="115">
        <f t="shared" si="53"/>
        <v>252829.35849899618</v>
      </c>
      <c r="L25" s="115">
        <f t="shared" si="53"/>
        <v>216175.68696627114</v>
      </c>
      <c r="M25" s="115">
        <f t="shared" si="53"/>
        <v>182833.83576504712</v>
      </c>
      <c r="N25" s="116">
        <f t="shared" si="53"/>
        <v>153370.11184646899</v>
      </c>
      <c r="O25" s="115">
        <f t="shared" si="53"/>
        <v>115926.00692218868</v>
      </c>
      <c r="P25" s="115">
        <f t="shared" si="53"/>
        <v>82171.439401442651</v>
      </c>
      <c r="Q25" s="115">
        <f t="shared" ref="Q25:Y25" si="54">SUM(Q23:Q24)</f>
        <v>51352.098995838664</v>
      </c>
      <c r="R25" s="115">
        <f t="shared" si="54"/>
        <v>24054.174349643989</v>
      </c>
      <c r="S25" s="115">
        <f t="shared" si="54"/>
        <v>205.81193358427845</v>
      </c>
      <c r="T25" s="115">
        <f t="shared" si="54"/>
        <v>-20265.003286590334</v>
      </c>
      <c r="U25" s="115">
        <f t="shared" si="54"/>
        <v>939709.52185208828</v>
      </c>
      <c r="V25" s="115">
        <f t="shared" si="54"/>
        <v>906174.82526358322</v>
      </c>
      <c r="W25" s="115">
        <f t="shared" si="54"/>
        <v>875756.15259725892</v>
      </c>
      <c r="X25" s="115">
        <f t="shared" si="54"/>
        <v>848380.62359905394</v>
      </c>
      <c r="Y25" s="115">
        <f t="shared" si="54"/>
        <v>823336.15155402268</v>
      </c>
      <c r="Z25" s="115">
        <f t="shared" ref="Z25:BJ25" si="55">SUM(Z23:Z24)</f>
        <v>801228.40951599577</v>
      </c>
      <c r="AA25" s="129">
        <f t="shared" si="55"/>
        <v>744771.66994995624</v>
      </c>
      <c r="AB25" s="115">
        <f t="shared" si="55"/>
        <v>691008.10090502491</v>
      </c>
      <c r="AC25" s="115">
        <f t="shared" si="55"/>
        <v>639899.59116708976</v>
      </c>
      <c r="AD25" s="115">
        <f t="shared" si="55"/>
        <v>590733.20546347927</v>
      </c>
      <c r="AE25" s="115">
        <f t="shared" si="55"/>
        <v>544113.76956631732</v>
      </c>
      <c r="AF25" s="115">
        <f t="shared" si="55"/>
        <v>500009.17116232892</v>
      </c>
      <c r="AG25" s="115">
        <f t="shared" si="55"/>
        <v>458387.37489218451</v>
      </c>
      <c r="AH25" s="115">
        <f t="shared" si="55"/>
        <v>419216.36982661183</v>
      </c>
      <c r="AI25" s="115">
        <f t="shared" si="55"/>
        <v>382422.18004499748</v>
      </c>
      <c r="AJ25" s="115">
        <f t="shared" si="55"/>
        <v>347333.67775568878</v>
      </c>
      <c r="AK25" s="115">
        <f t="shared" si="55"/>
        <v>314576.78420031979</v>
      </c>
      <c r="AL25" s="116">
        <f t="shared" si="55"/>
        <v>284119.58970732917</v>
      </c>
      <c r="AM25" s="115">
        <f t="shared" si="55"/>
        <v>255951.30437019654</v>
      </c>
      <c r="AN25" s="115">
        <f t="shared" si="55"/>
        <v>230040.33970377478</v>
      </c>
      <c r="AO25" s="115">
        <f t="shared" si="55"/>
        <v>206355.19764004648</v>
      </c>
      <c r="AP25" s="115">
        <f t="shared" si="55"/>
        <v>184246.51798648038</v>
      </c>
      <c r="AQ25" s="115">
        <f t="shared" si="55"/>
        <v>164341.12998180697</v>
      </c>
      <c r="AR25" s="115">
        <f t="shared" si="55"/>
        <v>146629.11057800823</v>
      </c>
      <c r="AS25" s="115">
        <f t="shared" si="55"/>
        <v>131121.87209529174</v>
      </c>
      <c r="AT25" s="115">
        <f t="shared" si="55"/>
        <v>117810.22448225529</v>
      </c>
      <c r="AU25" s="115">
        <f t="shared" si="55"/>
        <v>106685.27474163449</v>
      </c>
      <c r="AV25" s="115">
        <f t="shared" si="55"/>
        <v>97759.485635493882</v>
      </c>
      <c r="AW25" s="115">
        <f t="shared" si="55"/>
        <v>90385.8068699711</v>
      </c>
      <c r="AX25" s="129">
        <f t="shared" si="55"/>
        <v>85235.514183879131</v>
      </c>
      <c r="AY25" s="115">
        <f t="shared" si="55"/>
        <v>82322.539731508121</v>
      </c>
      <c r="AZ25" s="115">
        <f t="shared" si="55"/>
        <v>81703.41977705108</v>
      </c>
      <c r="BA25" s="115">
        <f t="shared" si="55"/>
        <v>83393.503655188251</v>
      </c>
      <c r="BB25" s="115">
        <f t="shared" si="55"/>
        <v>87429.745117290178</v>
      </c>
      <c r="BC25" s="115">
        <f t="shared" si="55"/>
        <v>93210.910772986477</v>
      </c>
      <c r="BD25" s="115">
        <f t="shared" si="55"/>
        <v>101433.53897402016</v>
      </c>
      <c r="BE25" s="115">
        <f t="shared" si="55"/>
        <v>112137.16445499449</v>
      </c>
      <c r="BF25" s="115">
        <f t="shared" si="55"/>
        <v>125404.31912171771</v>
      </c>
      <c r="BG25" s="115">
        <f t="shared" si="55"/>
        <v>141318.76693954039</v>
      </c>
      <c r="BH25" s="115">
        <f t="shared" si="55"/>
        <v>159965.52159647644</v>
      </c>
      <c r="BI25" s="115">
        <f t="shared" si="55"/>
        <v>180770.92830970045</v>
      </c>
      <c r="BJ25" s="116">
        <f t="shared" si="55"/>
        <v>204501.58544932818</v>
      </c>
    </row>
    <row r="26" spans="2:62" ht="17" thickBot="1" x14ac:dyDescent="0.25">
      <c r="B26" s="98"/>
      <c r="C26" s="268"/>
      <c r="D26" s="269"/>
      <c r="E26" s="269"/>
      <c r="F26" s="269"/>
      <c r="G26" s="122"/>
      <c r="H26" s="122"/>
      <c r="I26" s="122"/>
      <c r="J26" s="122"/>
      <c r="K26" s="122"/>
      <c r="L26" s="122"/>
      <c r="M26" s="122"/>
      <c r="N26" s="123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7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3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7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3"/>
    </row>
    <row r="27" spans="2:62" s="1" customFormat="1" ht="17" thickBot="1" x14ac:dyDescent="0.25">
      <c r="B27" s="100" t="s">
        <v>136</v>
      </c>
      <c r="C27" s="266">
        <f>C25+C20</f>
        <v>67917.5</v>
      </c>
      <c r="D27" s="267">
        <f>D25+D20</f>
        <v>41786.112777777773</v>
      </c>
      <c r="E27" s="267">
        <f>E25+E20</f>
        <v>523371.01704259258</v>
      </c>
      <c r="F27" s="267">
        <f>F25+F20</f>
        <v>522373.80100362888</v>
      </c>
      <c r="G27" s="118">
        <f t="shared" ref="G27:BJ27" si="56">G25+G20</f>
        <v>501868.82187344984</v>
      </c>
      <c r="H27" s="118">
        <f t="shared" si="56"/>
        <v>463185.45772991754</v>
      </c>
      <c r="I27" s="118">
        <f t="shared" si="56"/>
        <v>417191.38385382586</v>
      </c>
      <c r="J27" s="118">
        <f t="shared" si="56"/>
        <v>375248.59104234411</v>
      </c>
      <c r="K27" s="118">
        <f t="shared" si="56"/>
        <v>337390.00158166792</v>
      </c>
      <c r="L27" s="118">
        <f t="shared" si="56"/>
        <v>303524.65504022519</v>
      </c>
      <c r="M27" s="118">
        <f t="shared" si="56"/>
        <v>272911.31482958607</v>
      </c>
      <c r="N27" s="119">
        <f t="shared" si="56"/>
        <v>246096.30278083964</v>
      </c>
      <c r="O27" s="118">
        <f t="shared" si="56"/>
        <v>211831.12667597758</v>
      </c>
      <c r="P27" s="118">
        <f t="shared" si="56"/>
        <v>180613.72228020325</v>
      </c>
      <c r="Q27" s="118">
        <f t="shared" si="56"/>
        <v>152271.79804956866</v>
      </c>
      <c r="R27" s="118">
        <f t="shared" ref="R27:Y27" si="57">R25+R20</f>
        <v>127385.56287234099</v>
      </c>
      <c r="S27" s="118">
        <f t="shared" si="57"/>
        <v>105893.18508276566</v>
      </c>
      <c r="T27" s="118">
        <f t="shared" si="57"/>
        <v>87722.67325919414</v>
      </c>
      <c r="U27" s="118">
        <f t="shared" si="57"/>
        <v>1050151.8460662041</v>
      </c>
      <c r="V27" s="118">
        <f t="shared" si="57"/>
        <v>1018806.1689594969</v>
      </c>
      <c r="W27" s="118">
        <f t="shared" si="57"/>
        <v>990534.9173335142</v>
      </c>
      <c r="X27" s="118">
        <f t="shared" si="57"/>
        <v>965251.24305887823</v>
      </c>
      <c r="Y27" s="118">
        <f t="shared" si="57"/>
        <v>942267.0941153015</v>
      </c>
      <c r="Z27" s="118">
        <f t="shared" si="56"/>
        <v>922168.18102684559</v>
      </c>
      <c r="AA27" s="100">
        <f t="shared" si="56"/>
        <v>858802.73603469995</v>
      </c>
      <c r="AB27" s="118">
        <f t="shared" si="56"/>
        <v>806965.13227654807</v>
      </c>
      <c r="AC27" s="118">
        <f t="shared" si="56"/>
        <v>757741.2250483348</v>
      </c>
      <c r="AD27" s="118">
        <f t="shared" si="56"/>
        <v>710428.13005522394</v>
      </c>
      <c r="AE27" s="118">
        <f t="shared" si="56"/>
        <v>665610.72812540154</v>
      </c>
      <c r="AF27" s="118">
        <f t="shared" si="56"/>
        <v>623280.96640613989</v>
      </c>
      <c r="AG27" s="118">
        <f t="shared" si="56"/>
        <v>583406.8737555003</v>
      </c>
      <c r="AH27" s="118">
        <f t="shared" si="56"/>
        <v>545956.50859899295</v>
      </c>
      <c r="AI27" s="118">
        <f t="shared" si="56"/>
        <v>510827.96991916909</v>
      </c>
      <c r="AJ27" s="118">
        <f t="shared" si="56"/>
        <v>477402.2108197941</v>
      </c>
      <c r="AK27" s="118">
        <f t="shared" si="56"/>
        <v>446271.23990955355</v>
      </c>
      <c r="AL27" s="119">
        <f t="shared" si="56"/>
        <v>417413.24187330162</v>
      </c>
      <c r="AM27" s="118">
        <f t="shared" si="56"/>
        <v>390831.52870944678</v>
      </c>
      <c r="AN27" s="118">
        <f t="shared" si="56"/>
        <v>366480.62199016503</v>
      </c>
      <c r="AO27" s="118">
        <f t="shared" si="56"/>
        <v>344329.14250934799</v>
      </c>
      <c r="AP27" s="118">
        <f t="shared" si="56"/>
        <v>323765.85844532598</v>
      </c>
      <c r="AQ27" s="118">
        <f t="shared" si="56"/>
        <v>305369.73767736019</v>
      </c>
      <c r="AR27" s="118">
        <f t="shared" si="56"/>
        <v>289155.00688920572</v>
      </c>
      <c r="AS27" s="118">
        <f t="shared" si="56"/>
        <v>275147.24011138501</v>
      </c>
      <c r="AT27" s="118">
        <f t="shared" si="56"/>
        <v>263323.42193963606</v>
      </c>
      <c r="AU27" s="118">
        <f t="shared" si="56"/>
        <v>253674.84799560573</v>
      </c>
      <c r="AV27" s="118">
        <f t="shared" si="56"/>
        <v>246228.18474978281</v>
      </c>
      <c r="AW27" s="118">
        <f t="shared" si="56"/>
        <v>240346.60191340314</v>
      </c>
      <c r="AX27" s="100">
        <f t="shared" si="56"/>
        <v>236681.61283078574</v>
      </c>
      <c r="AY27" s="118">
        <f t="shared" si="56"/>
        <v>235257.40627016727</v>
      </c>
      <c r="AZ27" s="118">
        <f t="shared" si="56"/>
        <v>236158.79563880293</v>
      </c>
      <c r="BA27" s="118">
        <f t="shared" si="56"/>
        <v>239373.42958588025</v>
      </c>
      <c r="BB27" s="118">
        <f t="shared" si="56"/>
        <v>244952.58512243757</v>
      </c>
      <c r="BC27" s="118">
        <f t="shared" si="56"/>
        <v>252319.37797854564</v>
      </c>
      <c r="BD27" s="118">
        <f t="shared" si="56"/>
        <v>262136.72355602408</v>
      </c>
      <c r="BE27" s="118">
        <f t="shared" si="56"/>
        <v>274454.5638035587</v>
      </c>
      <c r="BF27" s="118">
        <f t="shared" si="56"/>
        <v>289383.87041816703</v>
      </c>
      <c r="BG27" s="118">
        <f t="shared" si="56"/>
        <v>307008.88233970571</v>
      </c>
      <c r="BH27" s="118">
        <f t="shared" si="56"/>
        <v>327415.12622865493</v>
      </c>
      <c r="BI27" s="118">
        <f t="shared" si="56"/>
        <v>350039.50131245324</v>
      </c>
      <c r="BJ27" s="119">
        <f t="shared" si="56"/>
        <v>375643.2042923012</v>
      </c>
    </row>
    <row r="28" spans="2:62" s="1" customFormat="1" x14ac:dyDescent="0.2"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</row>
    <row r="29" spans="2:62" s="31" customFormat="1" x14ac:dyDescent="0.2">
      <c r="B29" s="31" t="s">
        <v>165</v>
      </c>
      <c r="C29" s="107">
        <f>ROUND(C14-C27,2)</f>
        <v>0</v>
      </c>
      <c r="D29" s="107">
        <f t="shared" ref="D29:BJ29" si="58">ROUND(D14-D27,2)</f>
        <v>0</v>
      </c>
      <c r="E29" s="107">
        <f t="shared" si="58"/>
        <v>0</v>
      </c>
      <c r="F29" s="107">
        <f t="shared" si="58"/>
        <v>0</v>
      </c>
      <c r="G29" s="107">
        <f t="shared" si="58"/>
        <v>0</v>
      </c>
      <c r="H29" s="107">
        <f t="shared" si="58"/>
        <v>0</v>
      </c>
      <c r="I29" s="107">
        <f t="shared" si="58"/>
        <v>0</v>
      </c>
      <c r="J29" s="107">
        <f t="shared" si="58"/>
        <v>0</v>
      </c>
      <c r="K29" s="107">
        <f t="shared" si="58"/>
        <v>0</v>
      </c>
      <c r="L29" s="107">
        <f t="shared" si="58"/>
        <v>0</v>
      </c>
      <c r="M29" s="107">
        <f t="shared" si="58"/>
        <v>0</v>
      </c>
      <c r="N29" s="107">
        <f t="shared" si="58"/>
        <v>0</v>
      </c>
      <c r="O29" s="107">
        <f t="shared" si="58"/>
        <v>0</v>
      </c>
      <c r="P29" s="107">
        <f t="shared" si="58"/>
        <v>0</v>
      </c>
      <c r="Q29" s="107">
        <f t="shared" si="58"/>
        <v>0</v>
      </c>
      <c r="R29" s="107">
        <f t="shared" si="58"/>
        <v>0</v>
      </c>
      <c r="S29" s="107">
        <f t="shared" si="58"/>
        <v>0</v>
      </c>
      <c r="T29" s="107">
        <f t="shared" si="58"/>
        <v>0</v>
      </c>
      <c r="U29" s="107">
        <f t="shared" si="58"/>
        <v>0</v>
      </c>
      <c r="V29" s="107">
        <f t="shared" si="58"/>
        <v>0</v>
      </c>
      <c r="W29" s="107">
        <f t="shared" si="58"/>
        <v>0</v>
      </c>
      <c r="X29" s="107">
        <f t="shared" si="58"/>
        <v>0</v>
      </c>
      <c r="Y29" s="107">
        <f t="shared" si="58"/>
        <v>0</v>
      </c>
      <c r="Z29" s="107">
        <f t="shared" si="58"/>
        <v>0</v>
      </c>
      <c r="AA29" s="107">
        <f t="shared" si="58"/>
        <v>0</v>
      </c>
      <c r="AB29" s="107">
        <f t="shared" si="58"/>
        <v>0</v>
      </c>
      <c r="AC29" s="107">
        <f t="shared" si="58"/>
        <v>0</v>
      </c>
      <c r="AD29" s="107">
        <f t="shared" si="58"/>
        <v>0</v>
      </c>
      <c r="AE29" s="107">
        <f t="shared" si="58"/>
        <v>0</v>
      </c>
      <c r="AF29" s="107">
        <f t="shared" si="58"/>
        <v>0</v>
      </c>
      <c r="AG29" s="107">
        <f t="shared" si="58"/>
        <v>0</v>
      </c>
      <c r="AH29" s="107">
        <f t="shared" si="58"/>
        <v>0</v>
      </c>
      <c r="AI29" s="107">
        <f t="shared" si="58"/>
        <v>0</v>
      </c>
      <c r="AJ29" s="107">
        <f t="shared" si="58"/>
        <v>0</v>
      </c>
      <c r="AK29" s="107">
        <f t="shared" si="58"/>
        <v>0</v>
      </c>
      <c r="AL29" s="107">
        <f t="shared" si="58"/>
        <v>0</v>
      </c>
      <c r="AM29" s="107">
        <f t="shared" si="58"/>
        <v>0</v>
      </c>
      <c r="AN29" s="107">
        <f t="shared" si="58"/>
        <v>0</v>
      </c>
      <c r="AO29" s="107">
        <f t="shared" si="58"/>
        <v>0</v>
      </c>
      <c r="AP29" s="107">
        <f t="shared" si="58"/>
        <v>0</v>
      </c>
      <c r="AQ29" s="107">
        <f t="shared" si="58"/>
        <v>0</v>
      </c>
      <c r="AR29" s="107">
        <f t="shared" si="58"/>
        <v>0</v>
      </c>
      <c r="AS29" s="107">
        <f t="shared" si="58"/>
        <v>0</v>
      </c>
      <c r="AT29" s="107">
        <f t="shared" si="58"/>
        <v>0</v>
      </c>
      <c r="AU29" s="107">
        <f t="shared" si="58"/>
        <v>0</v>
      </c>
      <c r="AV29" s="107">
        <f t="shared" si="58"/>
        <v>0</v>
      </c>
      <c r="AW29" s="107">
        <f t="shared" si="58"/>
        <v>0</v>
      </c>
      <c r="AX29" s="107">
        <f t="shared" si="58"/>
        <v>0</v>
      </c>
      <c r="AY29" s="107">
        <f t="shared" si="58"/>
        <v>0</v>
      </c>
      <c r="AZ29" s="107">
        <f t="shared" si="58"/>
        <v>0</v>
      </c>
      <c r="BA29" s="107">
        <f t="shared" si="58"/>
        <v>0</v>
      </c>
      <c r="BB29" s="107">
        <f t="shared" si="58"/>
        <v>0</v>
      </c>
      <c r="BC29" s="107">
        <f t="shared" si="58"/>
        <v>0</v>
      </c>
      <c r="BD29" s="107">
        <f t="shared" si="58"/>
        <v>0</v>
      </c>
      <c r="BE29" s="107">
        <f t="shared" si="58"/>
        <v>0</v>
      </c>
      <c r="BF29" s="107">
        <f t="shared" si="58"/>
        <v>0</v>
      </c>
      <c r="BG29" s="107">
        <f t="shared" si="58"/>
        <v>0</v>
      </c>
      <c r="BH29" s="107">
        <f t="shared" si="58"/>
        <v>0</v>
      </c>
      <c r="BI29" s="107">
        <f t="shared" si="58"/>
        <v>0</v>
      </c>
      <c r="BJ29" s="107">
        <f t="shared" si="58"/>
        <v>0</v>
      </c>
    </row>
    <row r="30" spans="2:62" x14ac:dyDescent="0.2"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</row>
    <row r="31" spans="2:62" s="31" customFormat="1" x14ac:dyDescent="0.2">
      <c r="B31" s="31" t="s">
        <v>137</v>
      </c>
      <c r="C31" s="107">
        <f>'Income Statement - Monthly'!D10*12*ValuationMultipleOfRevenue</f>
        <v>1408050</v>
      </c>
      <c r="D31" s="107">
        <f>'Income Statement - Monthly'!E10*12*ValuationMultipleOfRevenue</f>
        <v>1467450</v>
      </c>
      <c r="E31" s="107">
        <f>'Income Statement - Monthly'!F10*12*ValuationMultipleOfRevenue</f>
        <v>2287320</v>
      </c>
      <c r="F31" s="107">
        <f>'Income Statement - Monthly'!G10*12*ValuationMultipleOfRevenue</f>
        <v>3184035.93425366</v>
      </c>
      <c r="G31" s="107">
        <f>'Income Statement - Monthly'!H10*12*ValuationMultipleOfRevenue</f>
        <v>3968013.7731218655</v>
      </c>
      <c r="H31" s="107">
        <f>'Income Statement - Monthly'!I10*12*ValuationMultipleOfRevenue</f>
        <v>4428210.142920265</v>
      </c>
      <c r="I31" s="107">
        <f>'Income Statement - Monthly'!J10*12*ValuationMultipleOfRevenue</f>
        <v>4880030.2223025365</v>
      </c>
      <c r="J31" s="107">
        <f>'Income Statement - Monthly'!K10*12*ValuationMultipleOfRevenue</f>
        <v>5319275.9080353901</v>
      </c>
      <c r="K31" s="107">
        <f>'Income Statement - Monthly'!L10*12*ValuationMultipleOfRevenue</f>
        <v>5748049.2486268729</v>
      </c>
      <c r="L31" s="107">
        <f>'Income Statement - Monthly'!M10*12*ValuationMultipleOfRevenue</f>
        <v>6166352.4564656727</v>
      </c>
      <c r="M31" s="107">
        <f>'Income Statement - Monthly'!N10*12*ValuationMultipleOfRevenue</f>
        <v>6574187.9209315777</v>
      </c>
      <c r="N31" s="107">
        <f>'Income Statement - Monthly'!O10*12*ValuationMultipleOfRevenue</f>
        <v>6971558.2225547554</v>
      </c>
      <c r="O31" s="107">
        <f>'Income Statement - Monthly'!P10*12*ValuationMultipleOfRevenue</f>
        <v>7358466.1483077854</v>
      </c>
      <c r="P31" s="107">
        <f>'Income Statement - Monthly'!Q10*12*ValuationMultipleOfRevenue</f>
        <v>7739114.7081210604</v>
      </c>
      <c r="Q31" s="107">
        <f>'Income Statement - Monthly'!R10*12*ValuationMultipleOfRevenue</f>
        <v>8109307.1527193952</v>
      </c>
      <c r="R31" s="107">
        <f>'Income Statement - Monthly'!S10*12*ValuationMultipleOfRevenue</f>
        <v>8471146.9928855989</v>
      </c>
      <c r="S31" s="107">
        <f>'Income Statement - Monthly'!T10*12*ValuationMultipleOfRevenue</f>
        <v>8824638.0202650987</v>
      </c>
      <c r="T31" s="107">
        <f>'Income Statement - Monthly'!U10*12*ValuationMultipleOfRevenue</f>
        <v>9169784.3298349548</v>
      </c>
      <c r="U31" s="107">
        <f>'Income Statement - Monthly'!V10*12*ValuationMultipleOfRevenue</f>
        <v>9506590.3441704027</v>
      </c>
      <c r="V31" s="107">
        <f>'Income Statement - Monthly'!W10*12*ValuationMultipleOfRevenue</f>
        <v>9835060.8396526873</v>
      </c>
      <c r="W31" s="107">
        <f>'Income Statement - Monthly'!X10*12*ValuationMultipleOfRevenue</f>
        <v>10157300.974773552</v>
      </c>
      <c r="X31" s="107">
        <f>'Income Statement - Monthly'!Y10*12*ValuationMultipleOfRevenue</f>
        <v>10471216.320704088</v>
      </c>
      <c r="Y31" s="107">
        <f>'Income Statement - Monthly'!Z10*12*ValuationMultipleOfRevenue</f>
        <v>10778912.894309066</v>
      </c>
      <c r="Z31" s="107">
        <f>'Income Statement - Monthly'!AA10*12*ValuationMultipleOfRevenue</f>
        <v>11080397.193802442</v>
      </c>
      <c r="AA31" s="107">
        <f>'Income Statement - Monthly'!AB10*12*ValuationMultipleOfRevenue</f>
        <v>8609105.6320679672</v>
      </c>
      <c r="AB31" s="107">
        <f>'Income Statement - Monthly'!AC10*12*ValuationMultipleOfRevenue</f>
        <v>8898186.9989970401</v>
      </c>
      <c r="AC31" s="107">
        <f>'Income Statement - Monthly'!AD10*12*ValuationMultipleOfRevenue</f>
        <v>9181078.8752804399</v>
      </c>
      <c r="AD31" s="107">
        <f>'Income Statement - Monthly'!AE10*12*ValuationMultipleOfRevenue</f>
        <v>9457790.101666512</v>
      </c>
      <c r="AE31" s="107">
        <f>'Income Statement - Monthly'!AF10*12*ValuationMultipleOfRevenue</f>
        <v>9728330.2261634693</v>
      </c>
      <c r="AF31" s="107">
        <f>'Income Statement - Monthly'!AG10*12*ValuationMultipleOfRevenue</f>
        <v>9994809.5606201831</v>
      </c>
      <c r="AG31" s="107">
        <f>'Income Statement - Monthly'!AH10*12*ValuationMultipleOfRevenue</f>
        <v>10257239.241833434</v>
      </c>
      <c r="AH31" s="107">
        <f>'Income Statement - Monthly'!AI10*12*ValuationMultipleOfRevenue</f>
        <v>10515631.297543742</v>
      </c>
      <c r="AI31" s="107">
        <f>'Income Statement - Monthly'!AJ10*12*ValuationMultipleOfRevenue</f>
        <v>10765798.717710879</v>
      </c>
      <c r="AJ31" s="107">
        <f>'Income Statement - Monthly'!AK10*12*ValuationMultipleOfRevenue</f>
        <v>11014055.531491386</v>
      </c>
      <c r="AK31" s="107">
        <f>'Income Statement - Monthly'!AL10*12*ValuationMultipleOfRevenue</f>
        <v>11258316.890374333</v>
      </c>
      <c r="AL31" s="107">
        <f>'Income Statement - Monthly'!AM10*12*ValuationMultipleOfRevenue</f>
        <v>11498599.157967918</v>
      </c>
      <c r="AM31" s="107">
        <f>'Income Statement - Monthly'!AN10*12*ValuationMultipleOfRevenue</f>
        <v>11737020.006968986</v>
      </c>
      <c r="AN31" s="107">
        <f>'Income Statement - Monthly'!AO10*12*ValuationMultipleOfRevenue</f>
        <v>11971498.523890141</v>
      </c>
      <c r="AO31" s="107">
        <f>'Income Statement - Monthly'!AP10*12*ValuationMultipleOfRevenue</f>
        <v>12202055.32216499</v>
      </c>
      <c r="AP31" s="107">
        <f>'Income Statement - Monthly'!AQ10*12*ValuationMultipleOfRevenue</f>
        <v>12432912.664301826</v>
      </c>
      <c r="AQ31" s="107">
        <f>'Income Statement - Monthly'!AR10*12*ValuationMultipleOfRevenue</f>
        <v>12659894.593809608</v>
      </c>
      <c r="AR31" s="107">
        <f>'Income Statement - Monthly'!AS10*12*ValuationMultipleOfRevenue</f>
        <v>12885127.077678014</v>
      </c>
      <c r="AS31" s="107">
        <f>'Income Statement - Monthly'!AT10*12*ValuationMultipleOfRevenue</f>
        <v>13110738.16025589</v>
      </c>
      <c r="AT31" s="107">
        <f>'Income Statement - Monthly'!AU10*12*ValuationMultipleOfRevenue</f>
        <v>13334658.129439997</v>
      </c>
      <c r="AU31" s="107">
        <f>'Income Statement - Monthly'!AV10*12*ValuationMultipleOfRevenue</f>
        <v>13556919.696158832</v>
      </c>
      <c r="AV31" s="107">
        <f>'Income Statement - Monthly'!AW10*12*ValuationMultipleOfRevenue</f>
        <v>13779658.188215178</v>
      </c>
      <c r="AW31" s="107">
        <f>'Income Statement - Monthly'!AX10*12*ValuationMultipleOfRevenue</f>
        <v>14002911.759636028</v>
      </c>
      <c r="AX31" s="107">
        <f>'Income Statement - Monthly'!AY10*12*ValuationMultipleOfRevenue</f>
        <v>14226721.616770547</v>
      </c>
      <c r="AY31" s="107">
        <f>'Income Statement - Monthly'!AZ10*12*ValuationMultipleOfRevenue</f>
        <v>14451132.262475826</v>
      </c>
      <c r="AZ31" s="107">
        <f>'Income Statement - Monthly'!BA10*12*ValuationMultipleOfRevenue</f>
        <v>14680391.759837529</v>
      </c>
      <c r="BA31" s="107">
        <f>'Income Statement - Monthly'!BB10*12*ValuationMultipleOfRevenue</f>
        <v>14910352.016988169</v>
      </c>
      <c r="BB31" s="107">
        <f>'Income Statement - Monthly'!BC10*12*ValuationMultipleOfRevenue</f>
        <v>15143169.094710855</v>
      </c>
      <c r="BC31" s="107">
        <f>'Income Statement - Monthly'!BD10*12*ValuationMultipleOfRevenue</f>
        <v>15381003.538651362</v>
      </c>
      <c r="BD31" s="107">
        <f>'Income Statement - Monthly'!BE10*12*ValuationMultipleOfRevenue</f>
        <v>15621820.738107106</v>
      </c>
      <c r="BE31" s="107">
        <f>'Income Statement - Monthly'!BF10*12*ValuationMultipleOfRevenue</f>
        <v>15865691.31351931</v>
      </c>
      <c r="BF31" s="107">
        <f>'Income Statement - Monthly'!BG10*12*ValuationMultipleOfRevenue</f>
        <v>16116891.534964494</v>
      </c>
      <c r="BG31" s="107">
        <f>'Income Statement - Monthly'!BH10*12*ValuationMultipleOfRevenue</f>
        <v>16375503.774125289</v>
      </c>
      <c r="BH31" s="107">
        <f>'Income Statement - Monthly'!BI10*12*ValuationMultipleOfRevenue</f>
        <v>16641616.992418949</v>
      </c>
      <c r="BI31" s="107">
        <f>'Income Statement - Monthly'!BJ10*12*ValuationMultipleOfRevenue</f>
        <v>16915327.268176101</v>
      </c>
      <c r="BJ31" s="107">
        <f>'Income Statement - Monthly'!BK10*12*ValuationMultipleOfRevenue</f>
        <v>17198838.365993828</v>
      </c>
    </row>
    <row r="32" spans="2:62" s="31" customFormat="1" x14ac:dyDescent="0.2">
      <c r="B32" s="31" t="s">
        <v>138</v>
      </c>
      <c r="C32" s="107">
        <f>C31*C40</f>
        <v>1408050</v>
      </c>
      <c r="D32" s="107">
        <f t="shared" ref="D32:BJ32" si="59">D31*D40</f>
        <v>1467450</v>
      </c>
      <c r="E32" s="107">
        <f t="shared" si="59"/>
        <v>1731828</v>
      </c>
      <c r="F32" s="107">
        <f t="shared" si="59"/>
        <v>2410770.0645063426</v>
      </c>
      <c r="G32" s="107">
        <f t="shared" si="59"/>
        <v>3004353.2853636979</v>
      </c>
      <c r="H32" s="107">
        <f t="shared" si="59"/>
        <v>3352787.6796396291</v>
      </c>
      <c r="I32" s="107">
        <f t="shared" si="59"/>
        <v>3694880.0254576346</v>
      </c>
      <c r="J32" s="107">
        <f t="shared" si="59"/>
        <v>4027451.7589410809</v>
      </c>
      <c r="K32" s="107">
        <f t="shared" si="59"/>
        <v>4352094.4311032034</v>
      </c>
      <c r="L32" s="107">
        <f t="shared" si="59"/>
        <v>4668809.7170382952</v>
      </c>
      <c r="M32" s="107">
        <f t="shared" si="59"/>
        <v>4977599.4258481944</v>
      </c>
      <c r="N32" s="107">
        <f t="shared" si="59"/>
        <v>5278465.5113628861</v>
      </c>
      <c r="O32" s="107">
        <f t="shared" si="59"/>
        <v>5571410.0837187516</v>
      </c>
      <c r="P32" s="107">
        <f t="shared" si="59"/>
        <v>5859615.4218630884</v>
      </c>
      <c r="Q32" s="107">
        <f t="shared" si="59"/>
        <v>6139903.9870589701</v>
      </c>
      <c r="R32" s="107">
        <f t="shared" si="59"/>
        <v>6413868.4374705246</v>
      </c>
      <c r="S32" s="107">
        <f t="shared" si="59"/>
        <v>6681511.6439150032</v>
      </c>
      <c r="T32" s="107">
        <f t="shared" si="59"/>
        <v>6942836.7068750374</v>
      </c>
      <c r="U32" s="107">
        <f t="shared" si="59"/>
        <v>7197846.9748718757</v>
      </c>
      <c r="V32" s="107">
        <f t="shared" si="59"/>
        <v>6701891.4578776164</v>
      </c>
      <c r="W32" s="107">
        <f t="shared" si="59"/>
        <v>6921475.092809977</v>
      </c>
      <c r="X32" s="107">
        <f t="shared" si="59"/>
        <v>7135385.9785369281</v>
      </c>
      <c r="Y32" s="107">
        <f t="shared" si="59"/>
        <v>7345059.2151220348</v>
      </c>
      <c r="Z32" s="107">
        <f t="shared" si="59"/>
        <v>7550499.2306339499</v>
      </c>
      <c r="AA32" s="107">
        <f t="shared" si="59"/>
        <v>5866490.5521377428</v>
      </c>
      <c r="AB32" s="107">
        <f t="shared" si="59"/>
        <v>6063478.8550308393</v>
      </c>
      <c r="AC32" s="107">
        <f t="shared" si="59"/>
        <v>6256249.4621553849</v>
      </c>
      <c r="AD32" s="107">
        <f t="shared" si="59"/>
        <v>6444808.3978498941</v>
      </c>
      <c r="AE32" s="107">
        <f t="shared" si="59"/>
        <v>6629162.1683999635</v>
      </c>
      <c r="AF32" s="107">
        <f t="shared" si="59"/>
        <v>6810748.8005940383</v>
      </c>
      <c r="AG32" s="107">
        <f t="shared" si="59"/>
        <v>6989575.883363639</v>
      </c>
      <c r="AH32" s="107">
        <f t="shared" si="59"/>
        <v>7165651.6127548069</v>
      </c>
      <c r="AI32" s="107">
        <f t="shared" si="59"/>
        <v>7336122.8404972693</v>
      </c>
      <c r="AJ32" s="107">
        <f t="shared" si="59"/>
        <v>7505292.1264591292</v>
      </c>
      <c r="AK32" s="107">
        <f t="shared" si="59"/>
        <v>7671738.7952979375</v>
      </c>
      <c r="AL32" s="107">
        <f t="shared" si="59"/>
        <v>7835473.9976438517</v>
      </c>
      <c r="AM32" s="107">
        <f t="shared" si="59"/>
        <v>7997940.776177437</v>
      </c>
      <c r="AN32" s="107">
        <f t="shared" si="59"/>
        <v>8157721.13699371</v>
      </c>
      <c r="AO32" s="107">
        <f t="shared" si="59"/>
        <v>8314829.1266752854</v>
      </c>
      <c r="AP32" s="107">
        <f t="shared" si="59"/>
        <v>8472141.9155313857</v>
      </c>
      <c r="AQ32" s="107">
        <f t="shared" si="59"/>
        <v>8626813.8874959759</v>
      </c>
      <c r="AR32" s="107">
        <f t="shared" si="59"/>
        <v>8780293.7372177318</v>
      </c>
      <c r="AS32" s="107">
        <f t="shared" si="59"/>
        <v>8934031.574917227</v>
      </c>
      <c r="AT32" s="107">
        <f t="shared" si="59"/>
        <v>9086617.0396326836</v>
      </c>
      <c r="AU32" s="107">
        <f t="shared" si="59"/>
        <v>9238072.4215253741</v>
      </c>
      <c r="AV32" s="107">
        <f t="shared" si="59"/>
        <v>9389852.793969484</v>
      </c>
      <c r="AW32" s="107">
        <f t="shared" si="59"/>
        <v>9541984.1562091205</v>
      </c>
      <c r="AX32" s="107">
        <f t="shared" si="59"/>
        <v>9694494.587427929</v>
      </c>
      <c r="AY32" s="107">
        <f t="shared" si="59"/>
        <v>9847414.4131442402</v>
      </c>
      <c r="AZ32" s="107">
        <f t="shared" si="59"/>
        <v>10003638.384917859</v>
      </c>
      <c r="BA32" s="107">
        <f t="shared" si="59"/>
        <v>10160339.874433367</v>
      </c>
      <c r="BB32" s="107">
        <f t="shared" si="59"/>
        <v>10318988.083110111</v>
      </c>
      <c r="BC32" s="107">
        <f t="shared" si="59"/>
        <v>10481055.268480999</v>
      </c>
      <c r="BD32" s="107">
        <f t="shared" si="59"/>
        <v>10645154.988681555</v>
      </c>
      <c r="BE32" s="107">
        <f t="shared" si="59"/>
        <v>10811335.366498157</v>
      </c>
      <c r="BF32" s="107">
        <f t="shared" si="59"/>
        <v>10982510.374540091</v>
      </c>
      <c r="BG32" s="107">
        <f t="shared" si="59"/>
        <v>11158736.143225376</v>
      </c>
      <c r="BH32" s="107">
        <f t="shared" si="59"/>
        <v>11340073.293405483</v>
      </c>
      <c r="BI32" s="107">
        <f t="shared" si="59"/>
        <v>11526587.295599999</v>
      </c>
      <c r="BJ32" s="107">
        <f t="shared" si="59"/>
        <v>11719779.857970079</v>
      </c>
    </row>
    <row r="33" spans="2:62" s="31" customFormat="1" x14ac:dyDescent="0.2"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</row>
    <row r="34" spans="2:62" s="31" customFormat="1" x14ac:dyDescent="0.2">
      <c r="B34" s="31" t="s">
        <v>139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</row>
    <row r="35" spans="2:62" s="31" customFormat="1" x14ac:dyDescent="0.2">
      <c r="B35" s="107" t="s">
        <v>140</v>
      </c>
      <c r="D35" s="107"/>
      <c r="E35" s="107">
        <f>PreMoneyValuationMonth3</f>
        <v>3000000</v>
      </c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</row>
    <row r="36" spans="2:62" s="31" customFormat="1" x14ac:dyDescent="0.2">
      <c r="B36" s="107" t="s">
        <v>141</v>
      </c>
      <c r="C36" s="107">
        <f>'Cash Flow - Monthly'!C22</f>
        <v>0</v>
      </c>
      <c r="D36" s="107">
        <f>'Cash Flow - Monthly'!D22</f>
        <v>0</v>
      </c>
      <c r="E36" s="107">
        <f>'Cash Flow - Monthly'!E22</f>
        <v>500000</v>
      </c>
      <c r="F36" s="107">
        <f>'Cash Flow - Monthly'!F22</f>
        <v>0</v>
      </c>
      <c r="G36" s="107">
        <f>'Cash Flow - Monthly'!G22</f>
        <v>0</v>
      </c>
      <c r="H36" s="107">
        <f>'Cash Flow - Monthly'!H22</f>
        <v>0</v>
      </c>
      <c r="I36" s="107">
        <f>'Cash Flow - Monthly'!I22</f>
        <v>0</v>
      </c>
      <c r="J36" s="107">
        <f>'Cash Flow - Monthly'!J22</f>
        <v>0</v>
      </c>
      <c r="K36" s="107">
        <f>'Cash Flow - Monthly'!K22</f>
        <v>0</v>
      </c>
      <c r="L36" s="107">
        <f>'Cash Flow - Monthly'!L22</f>
        <v>0</v>
      </c>
      <c r="M36" s="107">
        <f>'Cash Flow - Monthly'!M22</f>
        <v>0</v>
      </c>
      <c r="N36" s="107">
        <f>'Cash Flow - Monthly'!N22</f>
        <v>0</v>
      </c>
      <c r="O36" s="107">
        <f>'Cash Flow - Monthly'!O22</f>
        <v>0</v>
      </c>
      <c r="P36" s="107">
        <f>'Cash Flow - Monthly'!P22</f>
        <v>0</v>
      </c>
      <c r="Q36" s="107">
        <f>'Cash Flow - Monthly'!Q22</f>
        <v>0</v>
      </c>
      <c r="R36" s="107" t="e">
        <f>'Cash Flow - Monthly'!#REF!</f>
        <v>#REF!</v>
      </c>
      <c r="S36" s="107">
        <f>'Cash Flow - Monthly'!S22</f>
        <v>0</v>
      </c>
      <c r="T36" s="107">
        <f>'Cash Flow - Monthly'!T22</f>
        <v>0</v>
      </c>
      <c r="U36" s="107">
        <f>'Cash Flow - Monthly'!U22</f>
        <v>1000000</v>
      </c>
      <c r="V36" s="107">
        <f>'Cash Flow - Monthly'!W22</f>
        <v>0</v>
      </c>
      <c r="W36" s="107" t="e">
        <f>'Cash Flow - Monthly'!#REF!</f>
        <v>#REF!</v>
      </c>
      <c r="X36" s="107">
        <f>'Cash Flow - Monthly'!X22</f>
        <v>0</v>
      </c>
      <c r="Y36" s="107">
        <f>'Cash Flow - Monthly'!Y22</f>
        <v>0</v>
      </c>
      <c r="Z36" s="107">
        <f>'Cash Flow - Monthly'!Z22</f>
        <v>0</v>
      </c>
      <c r="AA36" s="107">
        <f>'Cash Flow - Monthly'!AA22</f>
        <v>0</v>
      </c>
      <c r="AB36" s="107">
        <f>'Cash Flow - Monthly'!AB22</f>
        <v>0</v>
      </c>
      <c r="AC36" s="107">
        <f>'Cash Flow - Monthly'!AC22</f>
        <v>0</v>
      </c>
      <c r="AD36" s="107">
        <f>'Cash Flow - Monthly'!AD22</f>
        <v>0</v>
      </c>
      <c r="AE36" s="107">
        <f>'Cash Flow - Monthly'!AE22</f>
        <v>0</v>
      </c>
      <c r="AF36" s="107">
        <f>'Cash Flow - Monthly'!AF22</f>
        <v>0</v>
      </c>
      <c r="AG36" s="107">
        <f>'Cash Flow - Monthly'!AG22</f>
        <v>0</v>
      </c>
      <c r="AH36" s="107">
        <f>'Cash Flow - Monthly'!AH22</f>
        <v>0</v>
      </c>
      <c r="AI36" s="107">
        <f>'Cash Flow - Monthly'!AI22</f>
        <v>0</v>
      </c>
      <c r="AJ36" s="107">
        <f>'Cash Flow - Monthly'!AJ22</f>
        <v>0</v>
      </c>
      <c r="AK36" s="107">
        <f>'Cash Flow - Monthly'!AK22</f>
        <v>0</v>
      </c>
      <c r="AL36" s="107">
        <f>'Cash Flow - Monthly'!AL22</f>
        <v>0</v>
      </c>
      <c r="AM36" s="107">
        <f>'Cash Flow - Monthly'!AM22</f>
        <v>0</v>
      </c>
      <c r="AN36" s="107">
        <f>'Cash Flow - Monthly'!AN22</f>
        <v>0</v>
      </c>
      <c r="AO36" s="107">
        <f>'Cash Flow - Monthly'!AO22</f>
        <v>0</v>
      </c>
      <c r="AP36" s="107">
        <f>'Cash Flow - Monthly'!AP22</f>
        <v>0</v>
      </c>
      <c r="AQ36" s="107">
        <f>'Cash Flow - Monthly'!AQ22</f>
        <v>0</v>
      </c>
      <c r="AR36" s="107">
        <f>'Cash Flow - Monthly'!AR22</f>
        <v>0</v>
      </c>
      <c r="AS36" s="107">
        <f>'Cash Flow - Monthly'!AS22</f>
        <v>0</v>
      </c>
      <c r="AT36" s="107">
        <f>'Cash Flow - Monthly'!AT22</f>
        <v>0</v>
      </c>
      <c r="AU36" s="107">
        <f>'Cash Flow - Monthly'!AU22</f>
        <v>0</v>
      </c>
      <c r="AV36" s="107">
        <f>'Cash Flow - Monthly'!AV22</f>
        <v>0</v>
      </c>
      <c r="AW36" s="107">
        <f>'Cash Flow - Monthly'!AW22</f>
        <v>0</v>
      </c>
      <c r="AX36" s="107">
        <f>'Cash Flow - Monthly'!AX22</f>
        <v>0</v>
      </c>
      <c r="AY36" s="107">
        <f>'Cash Flow - Monthly'!AY22</f>
        <v>0</v>
      </c>
      <c r="AZ36" s="107">
        <f>'Cash Flow - Monthly'!AZ22</f>
        <v>0</v>
      </c>
      <c r="BA36" s="107">
        <f>'Cash Flow - Monthly'!BA22</f>
        <v>0</v>
      </c>
      <c r="BB36" s="107">
        <f>'Cash Flow - Monthly'!BB22</f>
        <v>0</v>
      </c>
      <c r="BC36" s="107">
        <f>'Cash Flow - Monthly'!BC22</f>
        <v>0</v>
      </c>
      <c r="BD36" s="107">
        <f>'Cash Flow - Monthly'!BD22</f>
        <v>0</v>
      </c>
      <c r="BE36" s="107">
        <f>'Cash Flow - Monthly'!BE22</f>
        <v>0</v>
      </c>
      <c r="BF36" s="107">
        <f>'Cash Flow - Monthly'!BF22</f>
        <v>0</v>
      </c>
      <c r="BG36" s="107">
        <f>'Cash Flow - Monthly'!BG22</f>
        <v>0</v>
      </c>
      <c r="BH36" s="107">
        <f>'Cash Flow - Monthly'!BH22</f>
        <v>0</v>
      </c>
      <c r="BI36" s="107">
        <f>'Cash Flow - Monthly'!BI22</f>
        <v>0</v>
      </c>
      <c r="BJ36" s="107">
        <f>'Cash Flow - Monthly'!BJ22</f>
        <v>0</v>
      </c>
    </row>
    <row r="37" spans="2:62" s="31" customFormat="1" x14ac:dyDescent="0.2">
      <c r="B37" s="108" t="s">
        <v>142</v>
      </c>
      <c r="E37" s="109">
        <f>E36/(E36+E35)</f>
        <v>0.14285714285714285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>
        <f>V36/(V36+V31)</f>
        <v>0</v>
      </c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</row>
    <row r="38" spans="2:62" s="31" customFormat="1" x14ac:dyDescent="0.2">
      <c r="B38" s="108" t="s">
        <v>143</v>
      </c>
      <c r="E38" s="109">
        <v>0.1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>
        <v>0.1</v>
      </c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</row>
    <row r="39" spans="2:62" s="31" customFormat="1" x14ac:dyDescent="0.2">
      <c r="B39" s="108" t="s">
        <v>144</v>
      </c>
      <c r="E39" s="110">
        <f>1-(E38+E37)</f>
        <v>0.75714285714285712</v>
      </c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>
        <f>1-(V38+V37)</f>
        <v>0.9</v>
      </c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</row>
    <row r="40" spans="2:62" s="31" customFormat="1" x14ac:dyDescent="0.2">
      <c r="B40" s="108" t="s">
        <v>145</v>
      </c>
      <c r="C40" s="110">
        <v>1</v>
      </c>
      <c r="D40" s="110">
        <v>1</v>
      </c>
      <c r="E40" s="110">
        <f>E39*D40</f>
        <v>0.75714285714285712</v>
      </c>
      <c r="F40" s="110">
        <f>E40</f>
        <v>0.75714285714285712</v>
      </c>
      <c r="G40" s="110">
        <f t="shared" ref="G40:BJ40" si="60">F40</f>
        <v>0.75714285714285712</v>
      </c>
      <c r="H40" s="110">
        <f t="shared" si="60"/>
        <v>0.75714285714285712</v>
      </c>
      <c r="I40" s="110">
        <f t="shared" si="60"/>
        <v>0.75714285714285712</v>
      </c>
      <c r="J40" s="110">
        <f t="shared" si="60"/>
        <v>0.75714285714285712</v>
      </c>
      <c r="K40" s="110">
        <f t="shared" si="60"/>
        <v>0.75714285714285712</v>
      </c>
      <c r="L40" s="110">
        <f t="shared" si="60"/>
        <v>0.75714285714285712</v>
      </c>
      <c r="M40" s="110">
        <f t="shared" si="60"/>
        <v>0.75714285714285712</v>
      </c>
      <c r="N40" s="110">
        <f t="shared" si="60"/>
        <v>0.75714285714285712</v>
      </c>
      <c r="O40" s="110">
        <f t="shared" si="60"/>
        <v>0.75714285714285712</v>
      </c>
      <c r="P40" s="110">
        <f t="shared" si="60"/>
        <v>0.75714285714285712</v>
      </c>
      <c r="Q40" s="110">
        <f t="shared" si="60"/>
        <v>0.75714285714285712</v>
      </c>
      <c r="R40" s="110">
        <f t="shared" si="60"/>
        <v>0.75714285714285712</v>
      </c>
      <c r="S40" s="110">
        <f t="shared" si="60"/>
        <v>0.75714285714285712</v>
      </c>
      <c r="T40" s="110">
        <f t="shared" si="60"/>
        <v>0.75714285714285712</v>
      </c>
      <c r="U40" s="110">
        <f t="shared" si="60"/>
        <v>0.75714285714285712</v>
      </c>
      <c r="V40" s="110">
        <f>V39*U40</f>
        <v>0.68142857142857138</v>
      </c>
      <c r="W40" s="110">
        <f t="shared" si="60"/>
        <v>0.68142857142857138</v>
      </c>
      <c r="X40" s="110">
        <f t="shared" si="60"/>
        <v>0.68142857142857138</v>
      </c>
      <c r="Y40" s="110">
        <f t="shared" si="60"/>
        <v>0.68142857142857138</v>
      </c>
      <c r="Z40" s="110">
        <f t="shared" si="60"/>
        <v>0.68142857142857138</v>
      </c>
      <c r="AA40" s="110">
        <f t="shared" si="60"/>
        <v>0.68142857142857138</v>
      </c>
      <c r="AB40" s="110">
        <f t="shared" si="60"/>
        <v>0.68142857142857138</v>
      </c>
      <c r="AC40" s="110">
        <f t="shared" si="60"/>
        <v>0.68142857142857138</v>
      </c>
      <c r="AD40" s="110">
        <f t="shared" si="60"/>
        <v>0.68142857142857138</v>
      </c>
      <c r="AE40" s="110">
        <f t="shared" si="60"/>
        <v>0.68142857142857138</v>
      </c>
      <c r="AF40" s="110">
        <f t="shared" si="60"/>
        <v>0.68142857142857138</v>
      </c>
      <c r="AG40" s="110">
        <f t="shared" si="60"/>
        <v>0.68142857142857138</v>
      </c>
      <c r="AH40" s="110">
        <f t="shared" si="60"/>
        <v>0.68142857142857138</v>
      </c>
      <c r="AI40" s="110">
        <f t="shared" si="60"/>
        <v>0.68142857142857138</v>
      </c>
      <c r="AJ40" s="110">
        <f t="shared" si="60"/>
        <v>0.68142857142857138</v>
      </c>
      <c r="AK40" s="110">
        <f t="shared" si="60"/>
        <v>0.68142857142857138</v>
      </c>
      <c r="AL40" s="110">
        <f t="shared" si="60"/>
        <v>0.68142857142857138</v>
      </c>
      <c r="AM40" s="110">
        <f t="shared" si="60"/>
        <v>0.68142857142857138</v>
      </c>
      <c r="AN40" s="110">
        <f t="shared" si="60"/>
        <v>0.68142857142857138</v>
      </c>
      <c r="AO40" s="110">
        <f t="shared" si="60"/>
        <v>0.68142857142857138</v>
      </c>
      <c r="AP40" s="110">
        <f t="shared" si="60"/>
        <v>0.68142857142857138</v>
      </c>
      <c r="AQ40" s="110">
        <f t="shared" si="60"/>
        <v>0.68142857142857138</v>
      </c>
      <c r="AR40" s="110">
        <f t="shared" si="60"/>
        <v>0.68142857142857138</v>
      </c>
      <c r="AS40" s="110">
        <f t="shared" si="60"/>
        <v>0.68142857142857138</v>
      </c>
      <c r="AT40" s="110">
        <f t="shared" si="60"/>
        <v>0.68142857142857138</v>
      </c>
      <c r="AU40" s="110">
        <f t="shared" si="60"/>
        <v>0.68142857142857138</v>
      </c>
      <c r="AV40" s="110">
        <f t="shared" si="60"/>
        <v>0.68142857142857138</v>
      </c>
      <c r="AW40" s="110">
        <f t="shared" si="60"/>
        <v>0.68142857142857138</v>
      </c>
      <c r="AX40" s="110">
        <f t="shared" si="60"/>
        <v>0.68142857142857138</v>
      </c>
      <c r="AY40" s="110">
        <f t="shared" si="60"/>
        <v>0.68142857142857138</v>
      </c>
      <c r="AZ40" s="110">
        <f t="shared" si="60"/>
        <v>0.68142857142857138</v>
      </c>
      <c r="BA40" s="110">
        <f t="shared" si="60"/>
        <v>0.68142857142857138</v>
      </c>
      <c r="BB40" s="110">
        <f t="shared" si="60"/>
        <v>0.68142857142857138</v>
      </c>
      <c r="BC40" s="110">
        <f t="shared" si="60"/>
        <v>0.68142857142857138</v>
      </c>
      <c r="BD40" s="110">
        <f t="shared" si="60"/>
        <v>0.68142857142857138</v>
      </c>
      <c r="BE40" s="110">
        <f t="shared" si="60"/>
        <v>0.68142857142857138</v>
      </c>
      <c r="BF40" s="110">
        <f t="shared" si="60"/>
        <v>0.68142857142857138</v>
      </c>
      <c r="BG40" s="110">
        <f t="shared" si="60"/>
        <v>0.68142857142857138</v>
      </c>
      <c r="BH40" s="110">
        <f t="shared" si="60"/>
        <v>0.68142857142857138</v>
      </c>
      <c r="BI40" s="110">
        <f t="shared" si="60"/>
        <v>0.68142857142857138</v>
      </c>
      <c r="BJ40" s="110">
        <f t="shared" si="60"/>
        <v>0.68142857142857138</v>
      </c>
    </row>
    <row r="41" spans="2:62" s="31" customFormat="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077A-95B5-3B47-A2A6-6A40B7647064}">
  <dimension ref="B2:BK20"/>
  <sheetViews>
    <sheetView zoomScale="180" zoomScaleNormal="180" workbookViewId="0">
      <pane xSplit="3" ySplit="4" topLeftCell="D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  <sheetView workbookViewId="1"/>
  </sheetViews>
  <sheetFormatPr baseColWidth="10" defaultRowHeight="16" x14ac:dyDescent="0.2"/>
  <cols>
    <col min="1" max="1" width="6.6640625" customWidth="1"/>
    <col min="2" max="2" width="15.33203125" bestFit="1" customWidth="1"/>
    <col min="3" max="3" width="12.6640625" bestFit="1" customWidth="1"/>
  </cols>
  <sheetData>
    <row r="2" spans="2:63" ht="20" customHeight="1" x14ac:dyDescent="0.25">
      <c r="B2" s="35" t="s">
        <v>44</v>
      </c>
    </row>
    <row r="3" spans="2:63" ht="17" thickBot="1" x14ac:dyDescent="0.25"/>
    <row r="4" spans="2:63" ht="17" thickBot="1" x14ac:dyDescent="0.25">
      <c r="B4" s="75"/>
      <c r="C4" s="76"/>
      <c r="D4" s="167">
        <f>'Kiosk P&amp;L'!D4</f>
        <v>45292</v>
      </c>
      <c r="E4" s="40">
        <f>'Kiosk P&amp;L'!E4</f>
        <v>45323</v>
      </c>
      <c r="F4" s="40">
        <f>'Kiosk P&amp;L'!F4</f>
        <v>45352</v>
      </c>
      <c r="G4" s="40">
        <f>'Kiosk P&amp;L'!G4</f>
        <v>45383</v>
      </c>
      <c r="H4" s="40">
        <f>'Kiosk P&amp;L'!H4</f>
        <v>45413</v>
      </c>
      <c r="I4" s="40">
        <f>'Kiosk P&amp;L'!I4</f>
        <v>45444</v>
      </c>
      <c r="J4" s="40">
        <f>'Kiosk P&amp;L'!J4</f>
        <v>45474</v>
      </c>
      <c r="K4" s="40">
        <f>'Kiosk P&amp;L'!K4</f>
        <v>45505</v>
      </c>
      <c r="L4" s="40">
        <f>'Kiosk P&amp;L'!L4</f>
        <v>45536</v>
      </c>
      <c r="M4" s="40">
        <f>'Kiosk P&amp;L'!M4</f>
        <v>45566</v>
      </c>
      <c r="N4" s="40">
        <f>'Kiosk P&amp;L'!N4</f>
        <v>45597</v>
      </c>
      <c r="O4" s="40">
        <f>'Kiosk P&amp;L'!O4</f>
        <v>45627</v>
      </c>
      <c r="P4" s="167">
        <f>'Kiosk P&amp;L'!P4</f>
        <v>45658</v>
      </c>
      <c r="Q4" s="40">
        <f>'Kiosk P&amp;L'!Q4</f>
        <v>45689</v>
      </c>
      <c r="R4" s="40">
        <f>'Kiosk P&amp;L'!R4</f>
        <v>45717</v>
      </c>
      <c r="S4" s="40">
        <f>'Kiosk P&amp;L'!S4</f>
        <v>45748</v>
      </c>
      <c r="T4" s="40">
        <f>'Kiosk P&amp;L'!T4</f>
        <v>45778</v>
      </c>
      <c r="U4" s="40">
        <f>'Kiosk P&amp;L'!U4</f>
        <v>45809</v>
      </c>
      <c r="V4" s="40">
        <f>'Kiosk P&amp;L'!V4</f>
        <v>45839</v>
      </c>
      <c r="W4" s="40">
        <f>'Kiosk P&amp;L'!W4</f>
        <v>45870</v>
      </c>
      <c r="X4" s="40">
        <f>'Kiosk P&amp;L'!X4</f>
        <v>45901</v>
      </c>
      <c r="Y4" s="40">
        <f>'Kiosk P&amp;L'!Y4</f>
        <v>45931</v>
      </c>
      <c r="Z4" s="40">
        <f>'Kiosk P&amp;L'!Z4</f>
        <v>45962</v>
      </c>
      <c r="AA4" s="41">
        <f>'Kiosk P&amp;L'!AA4</f>
        <v>45992</v>
      </c>
      <c r="AB4" s="40">
        <f>'Kiosk P&amp;L'!AB4</f>
        <v>46023</v>
      </c>
      <c r="AC4" s="40">
        <f>'Kiosk P&amp;L'!AC4</f>
        <v>46054</v>
      </c>
      <c r="AD4" s="40">
        <f>'Kiosk P&amp;L'!AD4</f>
        <v>46082</v>
      </c>
      <c r="AE4" s="40">
        <f>'Kiosk P&amp;L'!AE4</f>
        <v>46113</v>
      </c>
      <c r="AF4" s="40">
        <f>'Kiosk P&amp;L'!AF4</f>
        <v>46143</v>
      </c>
      <c r="AG4" s="40">
        <f>'Kiosk P&amp;L'!AG4</f>
        <v>46174</v>
      </c>
      <c r="AH4" s="40">
        <f>'Kiosk P&amp;L'!AH4</f>
        <v>46204</v>
      </c>
      <c r="AI4" s="40">
        <f>'Kiosk P&amp;L'!AI4</f>
        <v>46235</v>
      </c>
      <c r="AJ4" s="40">
        <f>'Kiosk P&amp;L'!AJ4</f>
        <v>46266</v>
      </c>
      <c r="AK4" s="40">
        <f>'Kiosk P&amp;L'!AK4</f>
        <v>46296</v>
      </c>
      <c r="AL4" s="40">
        <f>'Kiosk P&amp;L'!AL4</f>
        <v>46327</v>
      </c>
      <c r="AM4" s="41">
        <f>'Kiosk P&amp;L'!AM4</f>
        <v>46357</v>
      </c>
      <c r="AN4" s="40">
        <f>'Kiosk P&amp;L'!AN4</f>
        <v>46388</v>
      </c>
      <c r="AO4" s="40">
        <f>'Kiosk P&amp;L'!AO4</f>
        <v>46419</v>
      </c>
      <c r="AP4" s="40">
        <f>'Kiosk P&amp;L'!AP4</f>
        <v>46447</v>
      </c>
      <c r="AQ4" s="40">
        <f>'Kiosk P&amp;L'!AQ4</f>
        <v>46478</v>
      </c>
      <c r="AR4" s="40">
        <f>'Kiosk P&amp;L'!AR4</f>
        <v>46508</v>
      </c>
      <c r="AS4" s="40">
        <f>'Kiosk P&amp;L'!AS4</f>
        <v>46539</v>
      </c>
      <c r="AT4" s="40">
        <f>'Kiosk P&amp;L'!AT4</f>
        <v>46569</v>
      </c>
      <c r="AU4" s="40">
        <f>'Kiosk P&amp;L'!AU4</f>
        <v>46600</v>
      </c>
      <c r="AV4" s="40">
        <f>'Kiosk P&amp;L'!AV4</f>
        <v>46631</v>
      </c>
      <c r="AW4" s="40">
        <f>'Kiosk P&amp;L'!AW4</f>
        <v>46661</v>
      </c>
      <c r="AX4" s="40">
        <f>'Kiosk P&amp;L'!AX4</f>
        <v>46692</v>
      </c>
      <c r="AY4" s="40">
        <f>'Kiosk P&amp;L'!AY4</f>
        <v>46722</v>
      </c>
      <c r="AZ4" s="167">
        <f>'Kiosk P&amp;L'!AZ4</f>
        <v>46753</v>
      </c>
      <c r="BA4" s="40">
        <f>'Kiosk P&amp;L'!BA4</f>
        <v>46784</v>
      </c>
      <c r="BB4" s="40">
        <f>'Kiosk P&amp;L'!BB4</f>
        <v>46813</v>
      </c>
      <c r="BC4" s="40">
        <f>'Kiosk P&amp;L'!BC4</f>
        <v>46844</v>
      </c>
      <c r="BD4" s="40">
        <f>'Kiosk P&amp;L'!BD4</f>
        <v>46874</v>
      </c>
      <c r="BE4" s="40">
        <f>'Kiosk P&amp;L'!BE4</f>
        <v>46905</v>
      </c>
      <c r="BF4" s="40">
        <f>'Kiosk P&amp;L'!BF4</f>
        <v>46935</v>
      </c>
      <c r="BG4" s="40">
        <f>'Kiosk P&amp;L'!BG4</f>
        <v>46966</v>
      </c>
      <c r="BH4" s="40">
        <f>'Kiosk P&amp;L'!BH4</f>
        <v>46997</v>
      </c>
      <c r="BI4" s="40">
        <f>'Kiosk P&amp;L'!BI4</f>
        <v>47027</v>
      </c>
      <c r="BJ4" s="40">
        <f>'Kiosk P&amp;L'!BJ4</f>
        <v>47058</v>
      </c>
      <c r="BK4" s="41">
        <f>'Kiosk P&amp;L'!BK4</f>
        <v>47088</v>
      </c>
    </row>
    <row r="5" spans="2:63" x14ac:dyDescent="0.2">
      <c r="B5" s="2" t="s">
        <v>100</v>
      </c>
      <c r="D5" s="64">
        <v>1</v>
      </c>
      <c r="E5" s="65">
        <f>D5</f>
        <v>1</v>
      </c>
      <c r="F5" s="65">
        <f t="shared" ref="F5:BK9" si="0">E5</f>
        <v>1</v>
      </c>
      <c r="G5" s="65">
        <f t="shared" si="0"/>
        <v>1</v>
      </c>
      <c r="H5" s="65">
        <f t="shared" si="0"/>
        <v>1</v>
      </c>
      <c r="I5" s="65">
        <f t="shared" si="0"/>
        <v>1</v>
      </c>
      <c r="J5" s="65">
        <f t="shared" si="0"/>
        <v>1</v>
      </c>
      <c r="K5" s="65">
        <f t="shared" si="0"/>
        <v>1</v>
      </c>
      <c r="L5" s="65">
        <f t="shared" si="0"/>
        <v>1</v>
      </c>
      <c r="M5" s="65">
        <f t="shared" si="0"/>
        <v>1</v>
      </c>
      <c r="N5" s="65">
        <f t="shared" si="0"/>
        <v>1</v>
      </c>
      <c r="O5" s="65">
        <f t="shared" si="0"/>
        <v>1</v>
      </c>
      <c r="P5" s="64">
        <f t="shared" si="0"/>
        <v>1</v>
      </c>
      <c r="Q5" s="65">
        <f t="shared" si="0"/>
        <v>1</v>
      </c>
      <c r="R5" s="65">
        <f t="shared" si="0"/>
        <v>1</v>
      </c>
      <c r="S5" s="65">
        <f t="shared" si="0"/>
        <v>1</v>
      </c>
      <c r="T5" s="65">
        <f t="shared" si="0"/>
        <v>1</v>
      </c>
      <c r="U5" s="65">
        <f t="shared" si="0"/>
        <v>1</v>
      </c>
      <c r="V5" s="65">
        <f t="shared" si="0"/>
        <v>1</v>
      </c>
      <c r="W5" s="65">
        <f t="shared" si="0"/>
        <v>1</v>
      </c>
      <c r="X5" s="65">
        <f t="shared" si="0"/>
        <v>1</v>
      </c>
      <c r="Y5" s="65">
        <f t="shared" si="0"/>
        <v>1</v>
      </c>
      <c r="Z5" s="65">
        <f t="shared" si="0"/>
        <v>1</v>
      </c>
      <c r="AA5" s="141">
        <f t="shared" si="0"/>
        <v>1</v>
      </c>
      <c r="AB5" s="65">
        <f t="shared" si="0"/>
        <v>1</v>
      </c>
      <c r="AC5" s="65">
        <f t="shared" si="0"/>
        <v>1</v>
      </c>
      <c r="AD5" s="65">
        <f t="shared" si="0"/>
        <v>1</v>
      </c>
      <c r="AE5" s="65">
        <f t="shared" si="0"/>
        <v>1</v>
      </c>
      <c r="AF5" s="65">
        <f t="shared" si="0"/>
        <v>1</v>
      </c>
      <c r="AG5" s="65">
        <f t="shared" si="0"/>
        <v>1</v>
      </c>
      <c r="AH5" s="65">
        <f t="shared" si="0"/>
        <v>1</v>
      </c>
      <c r="AI5" s="65">
        <f t="shared" si="0"/>
        <v>1</v>
      </c>
      <c r="AJ5" s="65">
        <f t="shared" si="0"/>
        <v>1</v>
      </c>
      <c r="AK5" s="65">
        <f t="shared" si="0"/>
        <v>1</v>
      </c>
      <c r="AL5" s="65">
        <f t="shared" si="0"/>
        <v>1</v>
      </c>
      <c r="AM5" s="65">
        <f t="shared" si="0"/>
        <v>1</v>
      </c>
      <c r="AN5" s="64">
        <f t="shared" si="0"/>
        <v>1</v>
      </c>
      <c r="AO5" s="65">
        <f t="shared" si="0"/>
        <v>1</v>
      </c>
      <c r="AP5" s="65">
        <f t="shared" si="0"/>
        <v>1</v>
      </c>
      <c r="AQ5" s="65">
        <f t="shared" si="0"/>
        <v>1</v>
      </c>
      <c r="AR5" s="65">
        <f t="shared" si="0"/>
        <v>1</v>
      </c>
      <c r="AS5" s="65">
        <f t="shared" si="0"/>
        <v>1</v>
      </c>
      <c r="AT5" s="65">
        <f t="shared" si="0"/>
        <v>1</v>
      </c>
      <c r="AU5" s="65">
        <f t="shared" si="0"/>
        <v>1</v>
      </c>
      <c r="AV5" s="65">
        <f t="shared" si="0"/>
        <v>1</v>
      </c>
      <c r="AW5" s="65">
        <f t="shared" si="0"/>
        <v>1</v>
      </c>
      <c r="AX5" s="65">
        <f t="shared" si="0"/>
        <v>1</v>
      </c>
      <c r="AY5" s="141">
        <f t="shared" si="0"/>
        <v>1</v>
      </c>
      <c r="AZ5" s="65">
        <f t="shared" si="0"/>
        <v>1</v>
      </c>
      <c r="BA5" s="65">
        <f t="shared" si="0"/>
        <v>1</v>
      </c>
      <c r="BB5" s="65">
        <f t="shared" si="0"/>
        <v>1</v>
      </c>
      <c r="BC5" s="65">
        <f t="shared" si="0"/>
        <v>1</v>
      </c>
      <c r="BD5" s="65">
        <f t="shared" si="0"/>
        <v>1</v>
      </c>
      <c r="BE5" s="65">
        <f t="shared" si="0"/>
        <v>1</v>
      </c>
      <c r="BF5" s="65">
        <f t="shared" si="0"/>
        <v>1</v>
      </c>
      <c r="BG5" s="65">
        <f t="shared" si="0"/>
        <v>1</v>
      </c>
      <c r="BH5" s="65">
        <f t="shared" si="0"/>
        <v>1</v>
      </c>
      <c r="BI5" s="65">
        <f t="shared" si="0"/>
        <v>1</v>
      </c>
      <c r="BJ5" s="65">
        <f t="shared" si="0"/>
        <v>1</v>
      </c>
      <c r="BK5" s="141">
        <f t="shared" si="0"/>
        <v>1</v>
      </c>
    </row>
    <row r="6" spans="2:63" x14ac:dyDescent="0.2">
      <c r="B6" s="2" t="s">
        <v>101</v>
      </c>
      <c r="D6" s="2">
        <v>0</v>
      </c>
      <c r="E6">
        <f>D6</f>
        <v>0</v>
      </c>
      <c r="F6">
        <f t="shared" ref="F6:O6" si="1">E6</f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 s="2">
        <v>1</v>
      </c>
      <c r="Q6">
        <f>P6</f>
        <v>1</v>
      </c>
      <c r="R6">
        <f>Q6</f>
        <v>1</v>
      </c>
      <c r="S6">
        <f>R6</f>
        <v>1</v>
      </c>
      <c r="T6">
        <f>S6</f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 s="3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 s="2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 s="3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 s="3">
        <f t="shared" si="0"/>
        <v>1</v>
      </c>
    </row>
    <row r="7" spans="2:63" x14ac:dyDescent="0.2">
      <c r="B7" s="2" t="s">
        <v>102</v>
      </c>
      <c r="D7" s="2">
        <v>1</v>
      </c>
      <c r="E7">
        <f>D7</f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 s="2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 s="3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 s="2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 s="3">
        <f t="shared" si="0"/>
        <v>1</v>
      </c>
      <c r="AZ7">
        <f t="shared" si="0"/>
        <v>1</v>
      </c>
      <c r="BA7">
        <f t="shared" si="0"/>
        <v>1</v>
      </c>
      <c r="BB7">
        <f t="shared" si="0"/>
        <v>1</v>
      </c>
      <c r="BC7">
        <f t="shared" si="0"/>
        <v>1</v>
      </c>
      <c r="BD7">
        <f t="shared" si="0"/>
        <v>1</v>
      </c>
      <c r="BE7">
        <f t="shared" si="0"/>
        <v>1</v>
      </c>
      <c r="BF7">
        <f t="shared" si="0"/>
        <v>1</v>
      </c>
      <c r="BG7">
        <f t="shared" si="0"/>
        <v>1</v>
      </c>
      <c r="BH7">
        <f t="shared" si="0"/>
        <v>1</v>
      </c>
      <c r="BI7">
        <f t="shared" si="0"/>
        <v>1</v>
      </c>
      <c r="BJ7">
        <f t="shared" si="0"/>
        <v>1</v>
      </c>
      <c r="BK7" s="3">
        <f t="shared" si="0"/>
        <v>1</v>
      </c>
    </row>
    <row r="8" spans="2:63" x14ac:dyDescent="0.2">
      <c r="B8" s="2" t="s">
        <v>103</v>
      </c>
      <c r="D8" s="2">
        <v>1</v>
      </c>
      <c r="E8">
        <f>D8</f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 s="2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v>4</v>
      </c>
      <c r="W8">
        <f t="shared" si="0"/>
        <v>4</v>
      </c>
      <c r="X8">
        <f t="shared" si="0"/>
        <v>4</v>
      </c>
      <c r="Y8">
        <f t="shared" si="0"/>
        <v>4</v>
      </c>
      <c r="Z8">
        <f t="shared" si="0"/>
        <v>4</v>
      </c>
      <c r="AA8" s="3">
        <f t="shared" si="0"/>
        <v>4</v>
      </c>
      <c r="AB8">
        <f t="shared" si="0"/>
        <v>4</v>
      </c>
      <c r="AC8">
        <f t="shared" si="0"/>
        <v>4</v>
      </c>
      <c r="AD8">
        <f t="shared" si="0"/>
        <v>4</v>
      </c>
      <c r="AE8">
        <f t="shared" si="0"/>
        <v>4</v>
      </c>
      <c r="AF8">
        <f t="shared" si="0"/>
        <v>4</v>
      </c>
      <c r="AG8">
        <f t="shared" si="0"/>
        <v>4</v>
      </c>
      <c r="AH8">
        <f t="shared" si="0"/>
        <v>4</v>
      </c>
      <c r="AI8">
        <f t="shared" si="0"/>
        <v>4</v>
      </c>
      <c r="AJ8">
        <f t="shared" si="0"/>
        <v>4</v>
      </c>
      <c r="AK8">
        <f t="shared" si="0"/>
        <v>4</v>
      </c>
      <c r="AL8">
        <f t="shared" si="0"/>
        <v>4</v>
      </c>
      <c r="AM8">
        <f t="shared" si="0"/>
        <v>4</v>
      </c>
      <c r="AN8" s="2">
        <f t="shared" si="0"/>
        <v>4</v>
      </c>
      <c r="AO8">
        <f t="shared" si="0"/>
        <v>4</v>
      </c>
      <c r="AP8">
        <f t="shared" si="0"/>
        <v>4</v>
      </c>
      <c r="AQ8">
        <f t="shared" si="0"/>
        <v>4</v>
      </c>
      <c r="AR8">
        <f t="shared" si="0"/>
        <v>4</v>
      </c>
      <c r="AS8">
        <f t="shared" si="0"/>
        <v>4</v>
      </c>
      <c r="AT8">
        <f t="shared" si="0"/>
        <v>4</v>
      </c>
      <c r="AU8">
        <f t="shared" si="0"/>
        <v>4</v>
      </c>
      <c r="AV8">
        <f t="shared" si="0"/>
        <v>4</v>
      </c>
      <c r="AW8">
        <f t="shared" si="0"/>
        <v>4</v>
      </c>
      <c r="AX8">
        <f t="shared" si="0"/>
        <v>4</v>
      </c>
      <c r="AY8" s="3">
        <f t="shared" si="0"/>
        <v>4</v>
      </c>
      <c r="AZ8">
        <f t="shared" si="0"/>
        <v>4</v>
      </c>
      <c r="BA8">
        <f t="shared" si="0"/>
        <v>4</v>
      </c>
      <c r="BB8">
        <f t="shared" si="0"/>
        <v>4</v>
      </c>
      <c r="BC8">
        <f t="shared" si="0"/>
        <v>4</v>
      </c>
      <c r="BD8">
        <f t="shared" si="0"/>
        <v>4</v>
      </c>
      <c r="BE8">
        <f t="shared" si="0"/>
        <v>4</v>
      </c>
      <c r="BF8">
        <f t="shared" si="0"/>
        <v>4</v>
      </c>
      <c r="BG8">
        <f t="shared" si="0"/>
        <v>4</v>
      </c>
      <c r="BH8">
        <f t="shared" si="0"/>
        <v>4</v>
      </c>
      <c r="BI8">
        <f t="shared" si="0"/>
        <v>4</v>
      </c>
      <c r="BJ8">
        <f t="shared" si="0"/>
        <v>4</v>
      </c>
      <c r="BK8" s="3">
        <f t="shared" si="0"/>
        <v>4</v>
      </c>
    </row>
    <row r="9" spans="2:63" x14ac:dyDescent="0.2">
      <c r="B9" s="2" t="s">
        <v>108</v>
      </c>
      <c r="D9" s="2">
        <v>0</v>
      </c>
      <c r="E9"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 s="2">
        <f>O9</f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 s="3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si="0"/>
        <v>0.5</v>
      </c>
      <c r="AK9">
        <f t="shared" si="0"/>
        <v>0.5</v>
      </c>
      <c r="AL9">
        <f t="shared" si="0"/>
        <v>0.5</v>
      </c>
      <c r="AM9">
        <f t="shared" si="0"/>
        <v>0.5</v>
      </c>
      <c r="AN9" s="2">
        <f t="shared" si="0"/>
        <v>0.5</v>
      </c>
      <c r="AO9">
        <f t="shared" si="0"/>
        <v>0.5</v>
      </c>
      <c r="AP9">
        <f t="shared" si="0"/>
        <v>0.5</v>
      </c>
      <c r="AQ9">
        <f t="shared" si="0"/>
        <v>0.5</v>
      </c>
      <c r="AR9">
        <f t="shared" ref="AR9:BK9" si="2">AQ9</f>
        <v>0.5</v>
      </c>
      <c r="AS9">
        <f t="shared" si="2"/>
        <v>0.5</v>
      </c>
      <c r="AT9">
        <f t="shared" si="2"/>
        <v>0.5</v>
      </c>
      <c r="AU9">
        <f t="shared" si="2"/>
        <v>0.5</v>
      </c>
      <c r="AV9">
        <f t="shared" si="2"/>
        <v>0.5</v>
      </c>
      <c r="AW9">
        <f t="shared" si="2"/>
        <v>0.5</v>
      </c>
      <c r="AX9">
        <f t="shared" si="2"/>
        <v>0.5</v>
      </c>
      <c r="AY9" s="3">
        <f t="shared" si="2"/>
        <v>0.5</v>
      </c>
      <c r="AZ9">
        <f t="shared" si="2"/>
        <v>0.5</v>
      </c>
      <c r="BA9">
        <f t="shared" si="2"/>
        <v>0.5</v>
      </c>
      <c r="BB9">
        <f t="shared" si="2"/>
        <v>0.5</v>
      </c>
      <c r="BC9">
        <f t="shared" si="2"/>
        <v>0.5</v>
      </c>
      <c r="BD9">
        <f t="shared" si="2"/>
        <v>0.5</v>
      </c>
      <c r="BE9">
        <f t="shared" si="2"/>
        <v>0.5</v>
      </c>
      <c r="BF9">
        <f t="shared" si="2"/>
        <v>0.5</v>
      </c>
      <c r="BG9">
        <f t="shared" si="2"/>
        <v>0.5</v>
      </c>
      <c r="BH9">
        <f t="shared" si="2"/>
        <v>0.5</v>
      </c>
      <c r="BI9">
        <f t="shared" si="2"/>
        <v>0.5</v>
      </c>
      <c r="BJ9">
        <f t="shared" si="2"/>
        <v>0.5</v>
      </c>
      <c r="BK9" s="3">
        <f t="shared" si="2"/>
        <v>0.5</v>
      </c>
    </row>
    <row r="10" spans="2:63" x14ac:dyDescent="0.2">
      <c r="B10" s="2" t="s">
        <v>104</v>
      </c>
      <c r="D10" s="2">
        <f>ROUND(('Marketing Detail'!C62+'Subscription Details'!C10)/OrdersPerRepPerMonth,1)</f>
        <v>0</v>
      </c>
      <c r="E10">
        <f>ROUND(('Marketing Detail'!D62+'Subscription Details'!D10)/OrdersPerRepPerMonth,1)</f>
        <v>0</v>
      </c>
      <c r="F10">
        <f>ROUND(('Marketing Detail'!E62+'Subscription Details'!E10)/OrdersPerRepPerMonth,1)</f>
        <v>0</v>
      </c>
      <c r="G10">
        <f>ROUND(('Marketing Detail'!F62+'Subscription Details'!F10)/OrdersPerRepPerMonth,1)</f>
        <v>0</v>
      </c>
      <c r="H10">
        <f>ROUND(('Marketing Detail'!G62+'Subscription Details'!G10)/OrdersPerRepPerMonth,1)</f>
        <v>0.1</v>
      </c>
      <c r="I10">
        <f>ROUND(('Marketing Detail'!H62+'Subscription Details'!H10)/OrdersPerRepPerMonth,1)</f>
        <v>0.1</v>
      </c>
      <c r="J10">
        <f>ROUND(('Marketing Detail'!I62+'Subscription Details'!I10)/OrdersPerRepPerMonth,1)</f>
        <v>0.2</v>
      </c>
      <c r="K10">
        <f>ROUND(('Marketing Detail'!J62+'Subscription Details'!J10)/OrdersPerRepPerMonth,1)</f>
        <v>0.2</v>
      </c>
      <c r="L10">
        <f>ROUND(('Marketing Detail'!K62+'Subscription Details'!K10)/OrdersPerRepPerMonth,1)</f>
        <v>0.2</v>
      </c>
      <c r="M10">
        <f>ROUND(('Marketing Detail'!L62+'Subscription Details'!L10)/OrdersPerRepPerMonth,1)</f>
        <v>0.2</v>
      </c>
      <c r="N10">
        <f>ROUND(('Marketing Detail'!M62+'Subscription Details'!M10)/OrdersPerRepPerMonth,1)</f>
        <v>0.3</v>
      </c>
      <c r="O10">
        <f>ROUND(('Marketing Detail'!N62+'Subscription Details'!N10)/OrdersPerRepPerMonth,1)</f>
        <v>0.3</v>
      </c>
      <c r="P10" s="2">
        <f>ROUND(('Marketing Detail'!O62+'Subscription Details'!O10)/OrdersPerRepPerMonth,1)</f>
        <v>0.3</v>
      </c>
      <c r="Q10">
        <f>ROUND(('Marketing Detail'!P62+'Subscription Details'!P10)/OrdersPerRepPerMonth,1)</f>
        <v>0.3</v>
      </c>
      <c r="R10">
        <f>ROUND(('Marketing Detail'!Q62+'Subscription Details'!Q10)/OrdersPerRepPerMonth,1)</f>
        <v>0.4</v>
      </c>
      <c r="S10">
        <f>ROUND(('Marketing Detail'!R62+'Subscription Details'!R10)/OrdersPerRepPerMonth,1)</f>
        <v>0.4</v>
      </c>
      <c r="T10">
        <f>ROUND(('Marketing Detail'!S62+'Subscription Details'!S10)/OrdersPerRepPerMonth,1)</f>
        <v>0.4</v>
      </c>
      <c r="U10">
        <f>ROUND(('Marketing Detail'!T62+'Subscription Details'!T10)/OrdersPerRepPerMonth,1)</f>
        <v>0.4</v>
      </c>
      <c r="V10">
        <f>ROUND(('Marketing Detail'!U62+'Subscription Details'!U10)/OrdersPerRepPerMonth,1)</f>
        <v>0.5</v>
      </c>
      <c r="W10">
        <f>ROUND(('Marketing Detail'!V62+'Subscription Details'!V10)/OrdersPerRepPerMonth,1)</f>
        <v>0.5</v>
      </c>
      <c r="X10">
        <f>ROUND(('Marketing Detail'!W62+'Subscription Details'!W10)/OrdersPerRepPerMonth,1)</f>
        <v>0.5</v>
      </c>
      <c r="Y10">
        <f>ROUND(('Marketing Detail'!X62+'Subscription Details'!X10)/OrdersPerRepPerMonth,1)</f>
        <v>0.5</v>
      </c>
      <c r="Z10">
        <f>ROUND(('Marketing Detail'!Y62+'Subscription Details'!Y10)/OrdersPerRepPerMonth,1)</f>
        <v>0.6</v>
      </c>
      <c r="AA10" s="3">
        <f>ROUND(('Marketing Detail'!Z62+'Subscription Details'!Z10)/OrdersPerRepPerMonth,1)</f>
        <v>0.6</v>
      </c>
      <c r="AB10">
        <f>ROUND(('Marketing Detail'!AA62+'Subscription Details'!AA10)/OrdersPerRepPerMonth,1)</f>
        <v>0.6</v>
      </c>
      <c r="AC10">
        <f>ROUND(('Marketing Detail'!AB62+'Subscription Details'!AB10)/OrdersPerRepPerMonth,1)</f>
        <v>0.6</v>
      </c>
      <c r="AD10">
        <f>ROUND(('Marketing Detail'!AC62+'Subscription Details'!AC10)/OrdersPerRepPerMonth,1)</f>
        <v>0.6</v>
      </c>
      <c r="AE10">
        <f>ROUND(('Marketing Detail'!AD62+'Subscription Details'!AD10)/OrdersPerRepPerMonth,1)</f>
        <v>0.7</v>
      </c>
      <c r="AF10">
        <f>ROUND(('Marketing Detail'!AE62+'Subscription Details'!AE10)/OrdersPerRepPerMonth,1)</f>
        <v>0.7</v>
      </c>
      <c r="AG10">
        <f>ROUND(('Marketing Detail'!AF62+'Subscription Details'!AF10)/OrdersPerRepPerMonth,1)</f>
        <v>0.7</v>
      </c>
      <c r="AH10">
        <f>ROUND(('Marketing Detail'!AG62+'Subscription Details'!AG10)/OrdersPerRepPerMonth,1)</f>
        <v>0.7</v>
      </c>
      <c r="AI10">
        <f>ROUND(('Marketing Detail'!AH62+'Subscription Details'!AH10)/OrdersPerRepPerMonth,1)</f>
        <v>0.7</v>
      </c>
      <c r="AJ10">
        <f>ROUND(('Marketing Detail'!AI62+'Subscription Details'!AI10)/OrdersPerRepPerMonth,1)</f>
        <v>0.7</v>
      </c>
      <c r="AK10">
        <f>ROUND(('Marketing Detail'!AJ62+'Subscription Details'!AJ10)/OrdersPerRepPerMonth,1)</f>
        <v>0.8</v>
      </c>
      <c r="AL10">
        <f>ROUND(('Marketing Detail'!AK62+'Subscription Details'!AK10)/OrdersPerRepPerMonth,1)</f>
        <v>0.8</v>
      </c>
      <c r="AM10">
        <f>ROUND(('Marketing Detail'!AL62+'Subscription Details'!AL10)/OrdersPerRepPerMonth,1)</f>
        <v>0.8</v>
      </c>
      <c r="AN10" s="2">
        <f>ROUND(('Marketing Detail'!AM62+'Subscription Details'!AM10)/OrdersPerRepPerMonth,1)</f>
        <v>0.8</v>
      </c>
      <c r="AO10">
        <f>ROUND(('Marketing Detail'!AN62+'Subscription Details'!AN10)/OrdersPerRepPerMonth,1)</f>
        <v>0.8</v>
      </c>
      <c r="AP10">
        <f>ROUND(('Marketing Detail'!AO62+'Subscription Details'!AO10)/OrdersPerRepPerMonth,1)</f>
        <v>0.8</v>
      </c>
      <c r="AQ10">
        <f>ROUND(('Marketing Detail'!AP62+'Subscription Details'!AP10)/OrdersPerRepPerMonth,1)</f>
        <v>0.9</v>
      </c>
      <c r="AR10">
        <f>ROUND(('Marketing Detail'!AQ62+'Subscription Details'!AQ10)/OrdersPerRepPerMonth,1)</f>
        <v>0.9</v>
      </c>
      <c r="AS10">
        <f>ROUND(('Marketing Detail'!AR62+'Subscription Details'!AR10)/OrdersPerRepPerMonth,1)</f>
        <v>0.9</v>
      </c>
      <c r="AT10">
        <f>ROUND(('Marketing Detail'!AS62+'Subscription Details'!AS10)/OrdersPerRepPerMonth,1)</f>
        <v>0.9</v>
      </c>
      <c r="AU10">
        <f>ROUND(('Marketing Detail'!AT62+'Subscription Details'!AT10)/OrdersPerRepPerMonth,1)</f>
        <v>0.9</v>
      </c>
      <c r="AV10">
        <f>ROUND(('Marketing Detail'!AU62+'Subscription Details'!AU10)/OrdersPerRepPerMonth,1)</f>
        <v>0.9</v>
      </c>
      <c r="AW10">
        <f>ROUND(('Marketing Detail'!AV62+'Subscription Details'!AV10)/OrdersPerRepPerMonth,1)</f>
        <v>0.9</v>
      </c>
      <c r="AX10">
        <f>ROUND(('Marketing Detail'!AW62+'Subscription Details'!AW10)/OrdersPerRepPerMonth,1)</f>
        <v>1</v>
      </c>
      <c r="AY10" s="3">
        <f>ROUND(('Marketing Detail'!AX62+'Subscription Details'!AX10)/OrdersPerRepPerMonth,1)</f>
        <v>1</v>
      </c>
      <c r="AZ10">
        <f>ROUND(('Marketing Detail'!AY62+'Subscription Details'!AY10)/OrdersPerRepPerMonth,1)</f>
        <v>1</v>
      </c>
      <c r="BA10">
        <f>ROUND(('Marketing Detail'!AZ62+'Subscription Details'!AZ10)/OrdersPerRepPerMonth,1)</f>
        <v>1</v>
      </c>
      <c r="BB10">
        <f>ROUND(('Marketing Detail'!BA62+'Subscription Details'!BA10)/OrdersPerRepPerMonth,1)</f>
        <v>1</v>
      </c>
      <c r="BC10">
        <f>ROUND(('Marketing Detail'!BB62+'Subscription Details'!BB10)/OrdersPerRepPerMonth,1)</f>
        <v>1</v>
      </c>
      <c r="BD10">
        <f>ROUND(('Marketing Detail'!BC62+'Subscription Details'!BC10)/OrdersPerRepPerMonth,1)</f>
        <v>1.1000000000000001</v>
      </c>
      <c r="BE10">
        <f>ROUND(('Marketing Detail'!BD62+'Subscription Details'!BD10)/OrdersPerRepPerMonth,1)</f>
        <v>1.1000000000000001</v>
      </c>
      <c r="BF10">
        <f>ROUND(('Marketing Detail'!BE62+'Subscription Details'!BE10)/OrdersPerRepPerMonth,1)</f>
        <v>1.1000000000000001</v>
      </c>
      <c r="BG10">
        <f>ROUND(('Marketing Detail'!BF62+'Subscription Details'!BF10)/OrdersPerRepPerMonth,1)</f>
        <v>1.1000000000000001</v>
      </c>
      <c r="BH10">
        <f>ROUND(('Marketing Detail'!BG62+'Subscription Details'!BG10)/OrdersPerRepPerMonth,1)</f>
        <v>1.1000000000000001</v>
      </c>
      <c r="BI10">
        <f>ROUND(('Marketing Detail'!BH62+'Subscription Details'!BH10)/OrdersPerRepPerMonth,1)</f>
        <v>1.1000000000000001</v>
      </c>
      <c r="BJ10">
        <f>ROUND(('Marketing Detail'!BI62+'Subscription Details'!BI10)/OrdersPerRepPerMonth,1)</f>
        <v>1.2</v>
      </c>
      <c r="BK10" s="3">
        <f>ROUND(('Marketing Detail'!BJ62+'Subscription Details'!BJ10)/OrdersPerRepPerMonth,1)</f>
        <v>1.2</v>
      </c>
    </row>
    <row r="11" spans="2:63" s="31" customFormat="1" x14ac:dyDescent="0.2">
      <c r="B11" s="42"/>
      <c r="D11" s="42">
        <f>SUM(D5:D10)</f>
        <v>3</v>
      </c>
      <c r="E11" s="31">
        <f t="shared" ref="E11:BK11" si="3">SUM(E5:E10)</f>
        <v>3.5</v>
      </c>
      <c r="F11" s="31">
        <f t="shared" si="3"/>
        <v>3.5</v>
      </c>
      <c r="G11" s="31">
        <f t="shared" si="3"/>
        <v>3.5</v>
      </c>
      <c r="H11" s="31">
        <f t="shared" si="3"/>
        <v>3.6</v>
      </c>
      <c r="I11" s="31">
        <f t="shared" si="3"/>
        <v>3.6</v>
      </c>
      <c r="J11" s="31">
        <f t="shared" si="3"/>
        <v>4.7</v>
      </c>
      <c r="K11" s="31">
        <f t="shared" si="3"/>
        <v>4.7</v>
      </c>
      <c r="L11" s="31">
        <f t="shared" si="3"/>
        <v>4.7</v>
      </c>
      <c r="M11" s="31">
        <f t="shared" si="3"/>
        <v>4.7</v>
      </c>
      <c r="N11" s="31">
        <f t="shared" si="3"/>
        <v>4.8</v>
      </c>
      <c r="O11" s="31">
        <f t="shared" si="3"/>
        <v>4.8</v>
      </c>
      <c r="P11" s="42">
        <f t="shared" si="3"/>
        <v>5.8</v>
      </c>
      <c r="Q11" s="31">
        <f t="shared" si="3"/>
        <v>5.8</v>
      </c>
      <c r="R11" s="31">
        <f t="shared" si="3"/>
        <v>5.9</v>
      </c>
      <c r="S11" s="31">
        <f t="shared" si="3"/>
        <v>5.9</v>
      </c>
      <c r="T11" s="31">
        <f t="shared" si="3"/>
        <v>5.9</v>
      </c>
      <c r="U11" s="31">
        <f t="shared" si="3"/>
        <v>5.9</v>
      </c>
      <c r="V11" s="31">
        <f t="shared" si="3"/>
        <v>8</v>
      </c>
      <c r="W11" s="31">
        <f t="shared" si="3"/>
        <v>8</v>
      </c>
      <c r="X11" s="31">
        <f t="shared" si="3"/>
        <v>8</v>
      </c>
      <c r="Y11" s="31">
        <f t="shared" si="3"/>
        <v>8</v>
      </c>
      <c r="Z11" s="31">
        <f t="shared" si="3"/>
        <v>8.1</v>
      </c>
      <c r="AA11" s="44">
        <f t="shared" si="3"/>
        <v>8.1</v>
      </c>
      <c r="AB11" s="31">
        <f t="shared" si="3"/>
        <v>8.1</v>
      </c>
      <c r="AC11" s="31">
        <f t="shared" si="3"/>
        <v>8.1</v>
      </c>
      <c r="AD11" s="31">
        <f t="shared" si="3"/>
        <v>8.1</v>
      </c>
      <c r="AE11" s="31">
        <f t="shared" si="3"/>
        <v>8.1999999999999993</v>
      </c>
      <c r="AF11" s="31">
        <f t="shared" si="3"/>
        <v>8.1999999999999993</v>
      </c>
      <c r="AG11" s="31">
        <f t="shared" si="3"/>
        <v>8.1999999999999993</v>
      </c>
      <c r="AH11" s="31">
        <f t="shared" si="3"/>
        <v>8.1999999999999993</v>
      </c>
      <c r="AI11" s="31">
        <f t="shared" si="3"/>
        <v>8.1999999999999993</v>
      </c>
      <c r="AJ11" s="31">
        <f t="shared" si="3"/>
        <v>8.1999999999999993</v>
      </c>
      <c r="AK11" s="31">
        <f t="shared" si="3"/>
        <v>8.3000000000000007</v>
      </c>
      <c r="AL11" s="31">
        <f t="shared" si="3"/>
        <v>8.3000000000000007</v>
      </c>
      <c r="AM11" s="31">
        <f t="shared" si="3"/>
        <v>8.3000000000000007</v>
      </c>
      <c r="AN11" s="42">
        <f t="shared" si="3"/>
        <v>8.3000000000000007</v>
      </c>
      <c r="AO11" s="31">
        <f t="shared" si="3"/>
        <v>8.3000000000000007</v>
      </c>
      <c r="AP11" s="31">
        <f t="shared" si="3"/>
        <v>8.3000000000000007</v>
      </c>
      <c r="AQ11" s="31">
        <f t="shared" si="3"/>
        <v>8.4</v>
      </c>
      <c r="AR11" s="31">
        <f t="shared" si="3"/>
        <v>8.4</v>
      </c>
      <c r="AS11" s="31">
        <f t="shared" si="3"/>
        <v>8.4</v>
      </c>
      <c r="AT11" s="31">
        <f t="shared" si="3"/>
        <v>8.4</v>
      </c>
      <c r="AU11" s="31">
        <f t="shared" si="3"/>
        <v>8.4</v>
      </c>
      <c r="AV11" s="31">
        <f t="shared" si="3"/>
        <v>8.4</v>
      </c>
      <c r="AW11" s="31">
        <f t="shared" si="3"/>
        <v>8.4</v>
      </c>
      <c r="AX11" s="31">
        <f t="shared" si="3"/>
        <v>8.5</v>
      </c>
      <c r="AY11" s="44">
        <f t="shared" si="3"/>
        <v>8.5</v>
      </c>
      <c r="AZ11" s="31">
        <f t="shared" si="3"/>
        <v>8.5</v>
      </c>
      <c r="BA11" s="31">
        <f t="shared" si="3"/>
        <v>8.5</v>
      </c>
      <c r="BB11" s="31">
        <f t="shared" si="3"/>
        <v>8.5</v>
      </c>
      <c r="BC11" s="31">
        <f t="shared" si="3"/>
        <v>8.5</v>
      </c>
      <c r="BD11" s="31">
        <f t="shared" si="3"/>
        <v>8.6</v>
      </c>
      <c r="BE11" s="31">
        <f t="shared" si="3"/>
        <v>8.6</v>
      </c>
      <c r="BF11" s="31">
        <f t="shared" si="3"/>
        <v>8.6</v>
      </c>
      <c r="BG11" s="31">
        <f t="shared" si="3"/>
        <v>8.6</v>
      </c>
      <c r="BH11" s="31">
        <f t="shared" si="3"/>
        <v>8.6</v>
      </c>
      <c r="BI11" s="31">
        <f t="shared" si="3"/>
        <v>8.6</v>
      </c>
      <c r="BJ11" s="31">
        <f t="shared" si="3"/>
        <v>8.6999999999999993</v>
      </c>
      <c r="BK11" s="44">
        <f t="shared" si="3"/>
        <v>8.6999999999999993</v>
      </c>
    </row>
    <row r="12" spans="2:63" x14ac:dyDescent="0.2">
      <c r="B12" s="2"/>
      <c r="D12" s="2"/>
      <c r="P12" s="2"/>
      <c r="AA12" s="3"/>
      <c r="AN12" s="2"/>
      <c r="AY12" s="3"/>
      <c r="BK12" s="3"/>
    </row>
    <row r="13" spans="2:63" x14ac:dyDescent="0.2">
      <c r="B13" s="2"/>
      <c r="D13" s="2"/>
      <c r="P13" s="2"/>
      <c r="AA13" s="3"/>
      <c r="AN13" s="2"/>
      <c r="AY13" s="3"/>
      <c r="BK13" s="3"/>
    </row>
    <row r="14" spans="2:63" x14ac:dyDescent="0.2">
      <c r="B14" s="2" t="str">
        <f t="shared" ref="B14:B19" si="4">B5</f>
        <v>CEO</v>
      </c>
      <c r="C14" s="30">
        <v>120000</v>
      </c>
      <c r="D14" s="88">
        <f t="shared" ref="D14:AI14" si="5">(D5*$C14/12)* (1+TaxesAndBenfits)</f>
        <v>12000</v>
      </c>
      <c r="E14" s="18">
        <f t="shared" si="5"/>
        <v>12000</v>
      </c>
      <c r="F14" s="18">
        <f t="shared" si="5"/>
        <v>12000</v>
      </c>
      <c r="G14" s="18">
        <f t="shared" si="5"/>
        <v>12000</v>
      </c>
      <c r="H14" s="18">
        <f t="shared" si="5"/>
        <v>12000</v>
      </c>
      <c r="I14" s="18">
        <f t="shared" si="5"/>
        <v>12000</v>
      </c>
      <c r="J14" s="18">
        <f t="shared" si="5"/>
        <v>12000</v>
      </c>
      <c r="K14" s="18">
        <f t="shared" si="5"/>
        <v>12000</v>
      </c>
      <c r="L14" s="18">
        <f t="shared" si="5"/>
        <v>12000</v>
      </c>
      <c r="M14" s="18">
        <f t="shared" si="5"/>
        <v>12000</v>
      </c>
      <c r="N14" s="18">
        <f t="shared" si="5"/>
        <v>12000</v>
      </c>
      <c r="O14" s="18">
        <f t="shared" si="5"/>
        <v>12000</v>
      </c>
      <c r="P14" s="88">
        <f t="shared" si="5"/>
        <v>12000</v>
      </c>
      <c r="Q14" s="18">
        <f t="shared" si="5"/>
        <v>12000</v>
      </c>
      <c r="R14" s="18">
        <f t="shared" si="5"/>
        <v>12000</v>
      </c>
      <c r="S14" s="18">
        <f t="shared" si="5"/>
        <v>12000</v>
      </c>
      <c r="T14" s="18">
        <f t="shared" si="5"/>
        <v>12000</v>
      </c>
      <c r="U14" s="18">
        <f t="shared" si="5"/>
        <v>12000</v>
      </c>
      <c r="V14" s="18">
        <f t="shared" si="5"/>
        <v>12000</v>
      </c>
      <c r="W14" s="18">
        <f t="shared" si="5"/>
        <v>12000</v>
      </c>
      <c r="X14" s="18">
        <f t="shared" si="5"/>
        <v>12000</v>
      </c>
      <c r="Y14" s="18">
        <f t="shared" si="5"/>
        <v>12000</v>
      </c>
      <c r="Z14" s="18">
        <f t="shared" si="5"/>
        <v>12000</v>
      </c>
      <c r="AA14" s="89">
        <f t="shared" si="5"/>
        <v>12000</v>
      </c>
      <c r="AB14" s="18">
        <f t="shared" si="5"/>
        <v>12000</v>
      </c>
      <c r="AC14" s="18">
        <f t="shared" si="5"/>
        <v>12000</v>
      </c>
      <c r="AD14" s="18">
        <f t="shared" si="5"/>
        <v>12000</v>
      </c>
      <c r="AE14" s="18">
        <f t="shared" si="5"/>
        <v>12000</v>
      </c>
      <c r="AF14" s="18">
        <f t="shared" si="5"/>
        <v>12000</v>
      </c>
      <c r="AG14" s="18">
        <f t="shared" si="5"/>
        <v>12000</v>
      </c>
      <c r="AH14" s="18">
        <f t="shared" si="5"/>
        <v>12000</v>
      </c>
      <c r="AI14" s="18">
        <f t="shared" si="5"/>
        <v>12000</v>
      </c>
      <c r="AJ14" s="18">
        <f t="shared" ref="AJ14:BK14" si="6">(AJ5*$C14/12)* (1+TaxesAndBenfits)</f>
        <v>12000</v>
      </c>
      <c r="AK14" s="18">
        <f t="shared" si="6"/>
        <v>12000</v>
      </c>
      <c r="AL14" s="18">
        <f t="shared" si="6"/>
        <v>12000</v>
      </c>
      <c r="AM14" s="18">
        <f t="shared" si="6"/>
        <v>12000</v>
      </c>
      <c r="AN14" s="88">
        <f t="shared" si="6"/>
        <v>12000</v>
      </c>
      <c r="AO14" s="18">
        <f t="shared" si="6"/>
        <v>12000</v>
      </c>
      <c r="AP14" s="18">
        <f t="shared" si="6"/>
        <v>12000</v>
      </c>
      <c r="AQ14" s="18">
        <f t="shared" si="6"/>
        <v>12000</v>
      </c>
      <c r="AR14" s="18">
        <f t="shared" si="6"/>
        <v>12000</v>
      </c>
      <c r="AS14" s="18">
        <f t="shared" si="6"/>
        <v>12000</v>
      </c>
      <c r="AT14" s="18">
        <f t="shared" si="6"/>
        <v>12000</v>
      </c>
      <c r="AU14" s="18">
        <f t="shared" si="6"/>
        <v>12000</v>
      </c>
      <c r="AV14" s="18">
        <f t="shared" si="6"/>
        <v>12000</v>
      </c>
      <c r="AW14" s="18">
        <f t="shared" si="6"/>
        <v>12000</v>
      </c>
      <c r="AX14" s="18">
        <f t="shared" si="6"/>
        <v>12000</v>
      </c>
      <c r="AY14" s="89">
        <f t="shared" si="6"/>
        <v>12000</v>
      </c>
      <c r="AZ14" s="18">
        <f t="shared" si="6"/>
        <v>12000</v>
      </c>
      <c r="BA14" s="18">
        <f t="shared" si="6"/>
        <v>12000</v>
      </c>
      <c r="BB14" s="18">
        <f t="shared" si="6"/>
        <v>12000</v>
      </c>
      <c r="BC14" s="18">
        <f t="shared" si="6"/>
        <v>12000</v>
      </c>
      <c r="BD14" s="18">
        <f t="shared" si="6"/>
        <v>12000</v>
      </c>
      <c r="BE14" s="18">
        <f t="shared" si="6"/>
        <v>12000</v>
      </c>
      <c r="BF14" s="18">
        <f t="shared" si="6"/>
        <v>12000</v>
      </c>
      <c r="BG14" s="18">
        <f t="shared" si="6"/>
        <v>12000</v>
      </c>
      <c r="BH14" s="18">
        <f t="shared" si="6"/>
        <v>12000</v>
      </c>
      <c r="BI14" s="18">
        <f t="shared" si="6"/>
        <v>12000</v>
      </c>
      <c r="BJ14" s="18">
        <f t="shared" si="6"/>
        <v>12000</v>
      </c>
      <c r="BK14" s="89">
        <f t="shared" si="6"/>
        <v>12000</v>
      </c>
    </row>
    <row r="15" spans="2:63" x14ac:dyDescent="0.2">
      <c r="B15" s="2" t="str">
        <f t="shared" si="4"/>
        <v>CFO</v>
      </c>
      <c r="C15" s="30">
        <v>140000</v>
      </c>
      <c r="D15" s="88">
        <f t="shared" ref="D15:AI15" si="7">(D6*$C15/12)* (1+TaxesAndBenfits)</f>
        <v>0</v>
      </c>
      <c r="E15" s="18">
        <f t="shared" si="7"/>
        <v>0</v>
      </c>
      <c r="F15" s="18">
        <f t="shared" si="7"/>
        <v>0</v>
      </c>
      <c r="G15" s="18">
        <f t="shared" si="7"/>
        <v>0</v>
      </c>
      <c r="H15" s="18">
        <f t="shared" si="7"/>
        <v>0</v>
      </c>
      <c r="I15" s="18">
        <f t="shared" si="7"/>
        <v>0</v>
      </c>
      <c r="J15" s="18">
        <f t="shared" si="7"/>
        <v>0</v>
      </c>
      <c r="K15" s="18">
        <f t="shared" si="7"/>
        <v>0</v>
      </c>
      <c r="L15" s="18">
        <f t="shared" si="7"/>
        <v>0</v>
      </c>
      <c r="M15" s="18">
        <f t="shared" si="7"/>
        <v>0</v>
      </c>
      <c r="N15" s="18">
        <f t="shared" si="7"/>
        <v>0</v>
      </c>
      <c r="O15" s="18">
        <f t="shared" si="7"/>
        <v>0</v>
      </c>
      <c r="P15" s="88">
        <f t="shared" si="7"/>
        <v>13999.999999999998</v>
      </c>
      <c r="Q15" s="18">
        <f t="shared" si="7"/>
        <v>13999.999999999998</v>
      </c>
      <c r="R15" s="18">
        <f t="shared" si="7"/>
        <v>13999.999999999998</v>
      </c>
      <c r="S15" s="18">
        <f t="shared" si="7"/>
        <v>13999.999999999998</v>
      </c>
      <c r="T15" s="18">
        <f t="shared" si="7"/>
        <v>13999.999999999998</v>
      </c>
      <c r="U15" s="18">
        <f t="shared" si="7"/>
        <v>13999.999999999998</v>
      </c>
      <c r="V15" s="18">
        <f t="shared" si="7"/>
        <v>13999.999999999998</v>
      </c>
      <c r="W15" s="18">
        <f t="shared" si="7"/>
        <v>13999.999999999998</v>
      </c>
      <c r="X15" s="18">
        <f t="shared" si="7"/>
        <v>13999.999999999998</v>
      </c>
      <c r="Y15" s="18">
        <f t="shared" si="7"/>
        <v>13999.999999999998</v>
      </c>
      <c r="Z15" s="18">
        <f t="shared" si="7"/>
        <v>13999.999999999998</v>
      </c>
      <c r="AA15" s="89">
        <f t="shared" si="7"/>
        <v>13999.999999999998</v>
      </c>
      <c r="AB15" s="18">
        <f t="shared" si="7"/>
        <v>13999.999999999998</v>
      </c>
      <c r="AC15" s="18">
        <f t="shared" si="7"/>
        <v>13999.999999999998</v>
      </c>
      <c r="AD15" s="18">
        <f t="shared" si="7"/>
        <v>13999.999999999998</v>
      </c>
      <c r="AE15" s="18">
        <f t="shared" si="7"/>
        <v>13999.999999999998</v>
      </c>
      <c r="AF15" s="18">
        <f t="shared" si="7"/>
        <v>13999.999999999998</v>
      </c>
      <c r="AG15" s="18">
        <f t="shared" si="7"/>
        <v>13999.999999999998</v>
      </c>
      <c r="AH15" s="18">
        <f t="shared" si="7"/>
        <v>13999.999999999998</v>
      </c>
      <c r="AI15" s="18">
        <f t="shared" si="7"/>
        <v>13999.999999999998</v>
      </c>
      <c r="AJ15" s="18">
        <f t="shared" ref="AJ15:BK15" si="8">(AJ6*$C15/12)* (1+TaxesAndBenfits)</f>
        <v>13999.999999999998</v>
      </c>
      <c r="AK15" s="18">
        <f t="shared" si="8"/>
        <v>13999.999999999998</v>
      </c>
      <c r="AL15" s="18">
        <f t="shared" si="8"/>
        <v>13999.999999999998</v>
      </c>
      <c r="AM15" s="18">
        <f t="shared" si="8"/>
        <v>13999.999999999998</v>
      </c>
      <c r="AN15" s="88">
        <f t="shared" si="8"/>
        <v>13999.999999999998</v>
      </c>
      <c r="AO15" s="18">
        <f t="shared" si="8"/>
        <v>13999.999999999998</v>
      </c>
      <c r="AP15" s="18">
        <f t="shared" si="8"/>
        <v>13999.999999999998</v>
      </c>
      <c r="AQ15" s="18">
        <f t="shared" si="8"/>
        <v>13999.999999999998</v>
      </c>
      <c r="AR15" s="18">
        <f t="shared" si="8"/>
        <v>13999.999999999998</v>
      </c>
      <c r="AS15" s="18">
        <f t="shared" si="8"/>
        <v>13999.999999999998</v>
      </c>
      <c r="AT15" s="18">
        <f t="shared" si="8"/>
        <v>13999.999999999998</v>
      </c>
      <c r="AU15" s="18">
        <f t="shared" si="8"/>
        <v>13999.999999999998</v>
      </c>
      <c r="AV15" s="18">
        <f t="shared" si="8"/>
        <v>13999.999999999998</v>
      </c>
      <c r="AW15" s="18">
        <f t="shared" si="8"/>
        <v>13999.999999999998</v>
      </c>
      <c r="AX15" s="18">
        <f t="shared" si="8"/>
        <v>13999.999999999998</v>
      </c>
      <c r="AY15" s="89">
        <f t="shared" si="8"/>
        <v>13999.999999999998</v>
      </c>
      <c r="AZ15" s="18">
        <f t="shared" si="8"/>
        <v>13999.999999999998</v>
      </c>
      <c r="BA15" s="18">
        <f t="shared" si="8"/>
        <v>13999.999999999998</v>
      </c>
      <c r="BB15" s="18">
        <f t="shared" si="8"/>
        <v>13999.999999999998</v>
      </c>
      <c r="BC15" s="18">
        <f t="shared" si="8"/>
        <v>13999.999999999998</v>
      </c>
      <c r="BD15" s="18">
        <f t="shared" si="8"/>
        <v>13999.999999999998</v>
      </c>
      <c r="BE15" s="18">
        <f t="shared" si="8"/>
        <v>13999.999999999998</v>
      </c>
      <c r="BF15" s="18">
        <f t="shared" si="8"/>
        <v>13999.999999999998</v>
      </c>
      <c r="BG15" s="18">
        <f t="shared" si="8"/>
        <v>13999.999999999998</v>
      </c>
      <c r="BH15" s="18">
        <f t="shared" si="8"/>
        <v>13999.999999999998</v>
      </c>
      <c r="BI15" s="18">
        <f t="shared" si="8"/>
        <v>13999.999999999998</v>
      </c>
      <c r="BJ15" s="18">
        <f t="shared" si="8"/>
        <v>13999.999999999998</v>
      </c>
      <c r="BK15" s="89">
        <f t="shared" si="8"/>
        <v>13999.999999999998</v>
      </c>
    </row>
    <row r="16" spans="2:63" x14ac:dyDescent="0.2">
      <c r="B16" s="2" t="str">
        <f t="shared" si="4"/>
        <v>CTO</v>
      </c>
      <c r="C16" s="30">
        <v>150000</v>
      </c>
      <c r="D16" s="88">
        <f t="shared" ref="D16:AI16" si="9">(D7*$C16/12)* (1+TaxesAndBenfits)</f>
        <v>15000</v>
      </c>
      <c r="E16" s="18">
        <f t="shared" si="9"/>
        <v>15000</v>
      </c>
      <c r="F16" s="18">
        <f t="shared" si="9"/>
        <v>15000</v>
      </c>
      <c r="G16" s="18">
        <f t="shared" si="9"/>
        <v>15000</v>
      </c>
      <c r="H16" s="18">
        <f t="shared" si="9"/>
        <v>15000</v>
      </c>
      <c r="I16" s="18">
        <f t="shared" si="9"/>
        <v>15000</v>
      </c>
      <c r="J16" s="18">
        <f t="shared" si="9"/>
        <v>15000</v>
      </c>
      <c r="K16" s="18">
        <f t="shared" si="9"/>
        <v>15000</v>
      </c>
      <c r="L16" s="18">
        <f t="shared" si="9"/>
        <v>15000</v>
      </c>
      <c r="M16" s="18">
        <f t="shared" si="9"/>
        <v>15000</v>
      </c>
      <c r="N16" s="18">
        <f t="shared" si="9"/>
        <v>15000</v>
      </c>
      <c r="O16" s="18">
        <f t="shared" si="9"/>
        <v>15000</v>
      </c>
      <c r="P16" s="88">
        <f t="shared" si="9"/>
        <v>15000</v>
      </c>
      <c r="Q16" s="18">
        <f t="shared" si="9"/>
        <v>15000</v>
      </c>
      <c r="R16" s="18">
        <f t="shared" si="9"/>
        <v>15000</v>
      </c>
      <c r="S16" s="18">
        <f t="shared" si="9"/>
        <v>15000</v>
      </c>
      <c r="T16" s="18">
        <f t="shared" si="9"/>
        <v>15000</v>
      </c>
      <c r="U16" s="18">
        <f t="shared" si="9"/>
        <v>15000</v>
      </c>
      <c r="V16" s="18">
        <f t="shared" si="9"/>
        <v>15000</v>
      </c>
      <c r="W16" s="18">
        <f t="shared" si="9"/>
        <v>15000</v>
      </c>
      <c r="X16" s="18">
        <f t="shared" si="9"/>
        <v>15000</v>
      </c>
      <c r="Y16" s="18">
        <f t="shared" si="9"/>
        <v>15000</v>
      </c>
      <c r="Z16" s="18">
        <f t="shared" si="9"/>
        <v>15000</v>
      </c>
      <c r="AA16" s="89">
        <f t="shared" si="9"/>
        <v>15000</v>
      </c>
      <c r="AB16" s="18">
        <f t="shared" si="9"/>
        <v>15000</v>
      </c>
      <c r="AC16" s="18">
        <f t="shared" si="9"/>
        <v>15000</v>
      </c>
      <c r="AD16" s="18">
        <f t="shared" si="9"/>
        <v>15000</v>
      </c>
      <c r="AE16" s="18">
        <f t="shared" si="9"/>
        <v>15000</v>
      </c>
      <c r="AF16" s="18">
        <f t="shared" si="9"/>
        <v>15000</v>
      </c>
      <c r="AG16" s="18">
        <f t="shared" si="9"/>
        <v>15000</v>
      </c>
      <c r="AH16" s="18">
        <f t="shared" si="9"/>
        <v>15000</v>
      </c>
      <c r="AI16" s="18">
        <f t="shared" si="9"/>
        <v>15000</v>
      </c>
      <c r="AJ16" s="18">
        <f t="shared" ref="AJ16:BK16" si="10">(AJ7*$C16/12)* (1+TaxesAndBenfits)</f>
        <v>15000</v>
      </c>
      <c r="AK16" s="18">
        <f t="shared" si="10"/>
        <v>15000</v>
      </c>
      <c r="AL16" s="18">
        <f t="shared" si="10"/>
        <v>15000</v>
      </c>
      <c r="AM16" s="18">
        <f t="shared" si="10"/>
        <v>15000</v>
      </c>
      <c r="AN16" s="88">
        <f t="shared" si="10"/>
        <v>15000</v>
      </c>
      <c r="AO16" s="18">
        <f t="shared" si="10"/>
        <v>15000</v>
      </c>
      <c r="AP16" s="18">
        <f t="shared" si="10"/>
        <v>15000</v>
      </c>
      <c r="AQ16" s="18">
        <f t="shared" si="10"/>
        <v>15000</v>
      </c>
      <c r="AR16" s="18">
        <f t="shared" si="10"/>
        <v>15000</v>
      </c>
      <c r="AS16" s="18">
        <f t="shared" si="10"/>
        <v>15000</v>
      </c>
      <c r="AT16" s="18">
        <f t="shared" si="10"/>
        <v>15000</v>
      </c>
      <c r="AU16" s="18">
        <f t="shared" si="10"/>
        <v>15000</v>
      </c>
      <c r="AV16" s="18">
        <f t="shared" si="10"/>
        <v>15000</v>
      </c>
      <c r="AW16" s="18">
        <f t="shared" si="10"/>
        <v>15000</v>
      </c>
      <c r="AX16" s="18">
        <f t="shared" si="10"/>
        <v>15000</v>
      </c>
      <c r="AY16" s="89">
        <f t="shared" si="10"/>
        <v>15000</v>
      </c>
      <c r="AZ16" s="18">
        <f t="shared" si="10"/>
        <v>15000</v>
      </c>
      <c r="BA16" s="18">
        <f t="shared" si="10"/>
        <v>15000</v>
      </c>
      <c r="BB16" s="18">
        <f t="shared" si="10"/>
        <v>15000</v>
      </c>
      <c r="BC16" s="18">
        <f t="shared" si="10"/>
        <v>15000</v>
      </c>
      <c r="BD16" s="18">
        <f t="shared" si="10"/>
        <v>15000</v>
      </c>
      <c r="BE16" s="18">
        <f t="shared" si="10"/>
        <v>15000</v>
      </c>
      <c r="BF16" s="18">
        <f t="shared" si="10"/>
        <v>15000</v>
      </c>
      <c r="BG16" s="18">
        <f t="shared" si="10"/>
        <v>15000</v>
      </c>
      <c r="BH16" s="18">
        <f t="shared" si="10"/>
        <v>15000</v>
      </c>
      <c r="BI16" s="18">
        <f t="shared" si="10"/>
        <v>15000</v>
      </c>
      <c r="BJ16" s="18">
        <f t="shared" si="10"/>
        <v>15000</v>
      </c>
      <c r="BK16" s="89">
        <f t="shared" si="10"/>
        <v>15000</v>
      </c>
    </row>
    <row r="17" spans="2:63" x14ac:dyDescent="0.2">
      <c r="B17" s="2" t="str">
        <f t="shared" si="4"/>
        <v>Developer</v>
      </c>
      <c r="C17" s="30">
        <v>110000</v>
      </c>
      <c r="D17" s="88">
        <f t="shared" ref="D17:AI17" si="11">(D8*$C17/12)* (1+TaxesAndBenfits)</f>
        <v>10999.999999999998</v>
      </c>
      <c r="E17" s="18">
        <f t="shared" si="11"/>
        <v>10999.999999999998</v>
      </c>
      <c r="F17" s="18">
        <f t="shared" si="11"/>
        <v>10999.999999999998</v>
      </c>
      <c r="G17" s="18">
        <f t="shared" si="11"/>
        <v>10999.999999999998</v>
      </c>
      <c r="H17" s="18">
        <f t="shared" si="11"/>
        <v>10999.999999999998</v>
      </c>
      <c r="I17" s="18">
        <f t="shared" si="11"/>
        <v>10999.999999999998</v>
      </c>
      <c r="J17" s="18">
        <f t="shared" si="11"/>
        <v>21999.999999999996</v>
      </c>
      <c r="K17" s="18">
        <f t="shared" si="11"/>
        <v>21999.999999999996</v>
      </c>
      <c r="L17" s="18">
        <f t="shared" si="11"/>
        <v>21999.999999999996</v>
      </c>
      <c r="M17" s="18">
        <f t="shared" si="11"/>
        <v>21999.999999999996</v>
      </c>
      <c r="N17" s="18">
        <f t="shared" si="11"/>
        <v>21999.999999999996</v>
      </c>
      <c r="O17" s="18">
        <f t="shared" si="11"/>
        <v>21999.999999999996</v>
      </c>
      <c r="P17" s="88">
        <f t="shared" si="11"/>
        <v>21999.999999999996</v>
      </c>
      <c r="Q17" s="18">
        <f t="shared" si="11"/>
        <v>21999.999999999996</v>
      </c>
      <c r="R17" s="18">
        <f t="shared" si="11"/>
        <v>21999.999999999996</v>
      </c>
      <c r="S17" s="18">
        <f t="shared" si="11"/>
        <v>21999.999999999996</v>
      </c>
      <c r="T17" s="18">
        <f t="shared" si="11"/>
        <v>21999.999999999996</v>
      </c>
      <c r="U17" s="18">
        <f t="shared" si="11"/>
        <v>21999.999999999996</v>
      </c>
      <c r="V17" s="18">
        <f t="shared" si="11"/>
        <v>43999.999999999993</v>
      </c>
      <c r="W17" s="18">
        <f t="shared" si="11"/>
        <v>43999.999999999993</v>
      </c>
      <c r="X17" s="18">
        <f t="shared" si="11"/>
        <v>43999.999999999993</v>
      </c>
      <c r="Y17" s="18">
        <f t="shared" si="11"/>
        <v>43999.999999999993</v>
      </c>
      <c r="Z17" s="18">
        <f t="shared" si="11"/>
        <v>43999.999999999993</v>
      </c>
      <c r="AA17" s="89">
        <f t="shared" si="11"/>
        <v>43999.999999999993</v>
      </c>
      <c r="AB17" s="18">
        <f t="shared" si="11"/>
        <v>43999.999999999993</v>
      </c>
      <c r="AC17" s="18">
        <f t="shared" si="11"/>
        <v>43999.999999999993</v>
      </c>
      <c r="AD17" s="18">
        <f t="shared" si="11"/>
        <v>43999.999999999993</v>
      </c>
      <c r="AE17" s="18">
        <f t="shared" si="11"/>
        <v>43999.999999999993</v>
      </c>
      <c r="AF17" s="18">
        <f t="shared" si="11"/>
        <v>43999.999999999993</v>
      </c>
      <c r="AG17" s="18">
        <f t="shared" si="11"/>
        <v>43999.999999999993</v>
      </c>
      <c r="AH17" s="18">
        <f t="shared" si="11"/>
        <v>43999.999999999993</v>
      </c>
      <c r="AI17" s="18">
        <f t="shared" si="11"/>
        <v>43999.999999999993</v>
      </c>
      <c r="AJ17" s="18">
        <f t="shared" ref="AJ17:BK17" si="12">(AJ8*$C17/12)* (1+TaxesAndBenfits)</f>
        <v>43999.999999999993</v>
      </c>
      <c r="AK17" s="18">
        <f t="shared" si="12"/>
        <v>43999.999999999993</v>
      </c>
      <c r="AL17" s="18">
        <f t="shared" si="12"/>
        <v>43999.999999999993</v>
      </c>
      <c r="AM17" s="18">
        <f t="shared" si="12"/>
        <v>43999.999999999993</v>
      </c>
      <c r="AN17" s="88">
        <f t="shared" si="12"/>
        <v>43999.999999999993</v>
      </c>
      <c r="AO17" s="18">
        <f t="shared" si="12"/>
        <v>43999.999999999993</v>
      </c>
      <c r="AP17" s="18">
        <f t="shared" si="12"/>
        <v>43999.999999999993</v>
      </c>
      <c r="AQ17" s="18">
        <f t="shared" si="12"/>
        <v>43999.999999999993</v>
      </c>
      <c r="AR17" s="18">
        <f t="shared" si="12"/>
        <v>43999.999999999993</v>
      </c>
      <c r="AS17" s="18">
        <f t="shared" si="12"/>
        <v>43999.999999999993</v>
      </c>
      <c r="AT17" s="18">
        <f t="shared" si="12"/>
        <v>43999.999999999993</v>
      </c>
      <c r="AU17" s="18">
        <f t="shared" si="12"/>
        <v>43999.999999999993</v>
      </c>
      <c r="AV17" s="18">
        <f t="shared" si="12"/>
        <v>43999.999999999993</v>
      </c>
      <c r="AW17" s="18">
        <f t="shared" si="12"/>
        <v>43999.999999999993</v>
      </c>
      <c r="AX17" s="18">
        <f t="shared" si="12"/>
        <v>43999.999999999993</v>
      </c>
      <c r="AY17" s="89">
        <f t="shared" si="12"/>
        <v>43999.999999999993</v>
      </c>
      <c r="AZ17" s="18">
        <f t="shared" si="12"/>
        <v>43999.999999999993</v>
      </c>
      <c r="BA17" s="18">
        <f t="shared" si="12"/>
        <v>43999.999999999993</v>
      </c>
      <c r="BB17" s="18">
        <f t="shared" si="12"/>
        <v>43999.999999999993</v>
      </c>
      <c r="BC17" s="18">
        <f t="shared" si="12"/>
        <v>43999.999999999993</v>
      </c>
      <c r="BD17" s="18">
        <f t="shared" si="12"/>
        <v>43999.999999999993</v>
      </c>
      <c r="BE17" s="18">
        <f t="shared" si="12"/>
        <v>43999.999999999993</v>
      </c>
      <c r="BF17" s="18">
        <f t="shared" si="12"/>
        <v>43999.999999999993</v>
      </c>
      <c r="BG17" s="18">
        <f t="shared" si="12"/>
        <v>43999.999999999993</v>
      </c>
      <c r="BH17" s="18">
        <f t="shared" si="12"/>
        <v>43999.999999999993</v>
      </c>
      <c r="BI17" s="18">
        <f t="shared" si="12"/>
        <v>43999.999999999993</v>
      </c>
      <c r="BJ17" s="18">
        <f t="shared" si="12"/>
        <v>43999.999999999993</v>
      </c>
      <c r="BK17" s="89">
        <f t="shared" si="12"/>
        <v>43999.999999999993</v>
      </c>
    </row>
    <row r="18" spans="2:63" x14ac:dyDescent="0.2">
      <c r="B18" s="2" t="str">
        <f t="shared" si="4"/>
        <v>Marketing</v>
      </c>
      <c r="C18" s="30">
        <v>75000</v>
      </c>
      <c r="D18" s="88">
        <f t="shared" ref="D18:AI18" si="13">(D9*$C18/12)* (1+TaxesAndBenfits)</f>
        <v>0</v>
      </c>
      <c r="E18" s="18">
        <f t="shared" si="13"/>
        <v>3750</v>
      </c>
      <c r="F18" s="18">
        <f t="shared" si="13"/>
        <v>3750</v>
      </c>
      <c r="G18" s="18">
        <f t="shared" si="13"/>
        <v>3750</v>
      </c>
      <c r="H18" s="18">
        <f t="shared" si="13"/>
        <v>3750</v>
      </c>
      <c r="I18" s="18">
        <f t="shared" si="13"/>
        <v>3750</v>
      </c>
      <c r="J18" s="18">
        <f t="shared" si="13"/>
        <v>3750</v>
      </c>
      <c r="K18" s="18">
        <f t="shared" si="13"/>
        <v>3750</v>
      </c>
      <c r="L18" s="18">
        <f t="shared" si="13"/>
        <v>3750</v>
      </c>
      <c r="M18" s="18">
        <f t="shared" si="13"/>
        <v>3750</v>
      </c>
      <c r="N18" s="18">
        <f t="shared" si="13"/>
        <v>3750</v>
      </c>
      <c r="O18" s="18">
        <f t="shared" si="13"/>
        <v>3750</v>
      </c>
      <c r="P18" s="88">
        <f t="shared" si="13"/>
        <v>3750</v>
      </c>
      <c r="Q18" s="18">
        <f t="shared" si="13"/>
        <v>3750</v>
      </c>
      <c r="R18" s="18">
        <f t="shared" si="13"/>
        <v>3750</v>
      </c>
      <c r="S18" s="18">
        <f t="shared" si="13"/>
        <v>3750</v>
      </c>
      <c r="T18" s="18">
        <f t="shared" si="13"/>
        <v>3750</v>
      </c>
      <c r="U18" s="18">
        <f t="shared" si="13"/>
        <v>3750</v>
      </c>
      <c r="V18" s="18">
        <f t="shared" si="13"/>
        <v>3750</v>
      </c>
      <c r="W18" s="18">
        <f t="shared" si="13"/>
        <v>3750</v>
      </c>
      <c r="X18" s="18">
        <f t="shared" si="13"/>
        <v>3750</v>
      </c>
      <c r="Y18" s="18">
        <f t="shared" si="13"/>
        <v>3750</v>
      </c>
      <c r="Z18" s="18">
        <f t="shared" si="13"/>
        <v>3750</v>
      </c>
      <c r="AA18" s="89">
        <f t="shared" si="13"/>
        <v>3750</v>
      </c>
      <c r="AB18" s="18">
        <f t="shared" si="13"/>
        <v>3750</v>
      </c>
      <c r="AC18" s="18">
        <f t="shared" si="13"/>
        <v>3750</v>
      </c>
      <c r="AD18" s="18">
        <f t="shared" si="13"/>
        <v>3750</v>
      </c>
      <c r="AE18" s="18">
        <f t="shared" si="13"/>
        <v>3750</v>
      </c>
      <c r="AF18" s="18">
        <f t="shared" si="13"/>
        <v>3750</v>
      </c>
      <c r="AG18" s="18">
        <f t="shared" si="13"/>
        <v>3750</v>
      </c>
      <c r="AH18" s="18">
        <f t="shared" si="13"/>
        <v>3750</v>
      </c>
      <c r="AI18" s="18">
        <f t="shared" si="13"/>
        <v>3750</v>
      </c>
      <c r="AJ18" s="18">
        <f t="shared" ref="AJ18:BK18" si="14">(AJ9*$C18/12)* (1+TaxesAndBenfits)</f>
        <v>3750</v>
      </c>
      <c r="AK18" s="18">
        <f t="shared" si="14"/>
        <v>3750</v>
      </c>
      <c r="AL18" s="18">
        <f t="shared" si="14"/>
        <v>3750</v>
      </c>
      <c r="AM18" s="18">
        <f t="shared" si="14"/>
        <v>3750</v>
      </c>
      <c r="AN18" s="88">
        <f t="shared" si="14"/>
        <v>3750</v>
      </c>
      <c r="AO18" s="18">
        <f t="shared" si="14"/>
        <v>3750</v>
      </c>
      <c r="AP18" s="18">
        <f t="shared" si="14"/>
        <v>3750</v>
      </c>
      <c r="AQ18" s="18">
        <f t="shared" si="14"/>
        <v>3750</v>
      </c>
      <c r="AR18" s="18">
        <f t="shared" si="14"/>
        <v>3750</v>
      </c>
      <c r="AS18" s="18">
        <f t="shared" si="14"/>
        <v>3750</v>
      </c>
      <c r="AT18" s="18">
        <f t="shared" si="14"/>
        <v>3750</v>
      </c>
      <c r="AU18" s="18">
        <f t="shared" si="14"/>
        <v>3750</v>
      </c>
      <c r="AV18" s="18">
        <f t="shared" si="14"/>
        <v>3750</v>
      </c>
      <c r="AW18" s="18">
        <f t="shared" si="14"/>
        <v>3750</v>
      </c>
      <c r="AX18" s="18">
        <f t="shared" si="14"/>
        <v>3750</v>
      </c>
      <c r="AY18" s="89">
        <f t="shared" si="14"/>
        <v>3750</v>
      </c>
      <c r="AZ18" s="18">
        <f t="shared" si="14"/>
        <v>3750</v>
      </c>
      <c r="BA18" s="18">
        <f t="shared" si="14"/>
        <v>3750</v>
      </c>
      <c r="BB18" s="18">
        <f t="shared" si="14"/>
        <v>3750</v>
      </c>
      <c r="BC18" s="18">
        <f t="shared" si="14"/>
        <v>3750</v>
      </c>
      <c r="BD18" s="18">
        <f t="shared" si="14"/>
        <v>3750</v>
      </c>
      <c r="BE18" s="18">
        <f t="shared" si="14"/>
        <v>3750</v>
      </c>
      <c r="BF18" s="18">
        <f t="shared" si="14"/>
        <v>3750</v>
      </c>
      <c r="BG18" s="18">
        <f t="shared" si="14"/>
        <v>3750</v>
      </c>
      <c r="BH18" s="18">
        <f t="shared" si="14"/>
        <v>3750</v>
      </c>
      <c r="BI18" s="18">
        <f t="shared" si="14"/>
        <v>3750</v>
      </c>
      <c r="BJ18" s="18">
        <f t="shared" si="14"/>
        <v>3750</v>
      </c>
      <c r="BK18" s="89">
        <f t="shared" si="14"/>
        <v>3750</v>
      </c>
    </row>
    <row r="19" spans="2:63" ht="17" thickBot="1" x14ac:dyDescent="0.25">
      <c r="B19" s="90" t="str">
        <f t="shared" si="4"/>
        <v>Customer Service</v>
      </c>
      <c r="C19" s="158">
        <v>65000</v>
      </c>
      <c r="D19" s="159">
        <f t="shared" ref="D19:AI19" si="15">(D10*$C19/12)* (1+TaxesAndBenfits)</f>
        <v>0</v>
      </c>
      <c r="E19" s="92">
        <f t="shared" si="15"/>
        <v>0</v>
      </c>
      <c r="F19" s="92">
        <f t="shared" si="15"/>
        <v>0</v>
      </c>
      <c r="G19" s="92">
        <f t="shared" si="15"/>
        <v>0</v>
      </c>
      <c r="H19" s="92">
        <f t="shared" si="15"/>
        <v>649.99999999999989</v>
      </c>
      <c r="I19" s="92">
        <f t="shared" si="15"/>
        <v>649.99999999999989</v>
      </c>
      <c r="J19" s="92">
        <f t="shared" si="15"/>
        <v>1299.9999999999998</v>
      </c>
      <c r="K19" s="92">
        <f t="shared" si="15"/>
        <v>1299.9999999999998</v>
      </c>
      <c r="L19" s="92">
        <f t="shared" si="15"/>
        <v>1299.9999999999998</v>
      </c>
      <c r="M19" s="92">
        <f t="shared" si="15"/>
        <v>1299.9999999999998</v>
      </c>
      <c r="N19" s="92">
        <f t="shared" si="15"/>
        <v>1950</v>
      </c>
      <c r="O19" s="92">
        <f t="shared" si="15"/>
        <v>1950</v>
      </c>
      <c r="P19" s="159">
        <f t="shared" si="15"/>
        <v>1950</v>
      </c>
      <c r="Q19" s="92">
        <f t="shared" si="15"/>
        <v>1950</v>
      </c>
      <c r="R19" s="92">
        <f t="shared" si="15"/>
        <v>2599.9999999999995</v>
      </c>
      <c r="S19" s="92">
        <f t="shared" si="15"/>
        <v>2599.9999999999995</v>
      </c>
      <c r="T19" s="92">
        <f t="shared" si="15"/>
        <v>2599.9999999999995</v>
      </c>
      <c r="U19" s="92">
        <f t="shared" si="15"/>
        <v>2599.9999999999995</v>
      </c>
      <c r="V19" s="92">
        <f t="shared" si="15"/>
        <v>3250</v>
      </c>
      <c r="W19" s="92">
        <f t="shared" si="15"/>
        <v>3250</v>
      </c>
      <c r="X19" s="92">
        <f t="shared" si="15"/>
        <v>3250</v>
      </c>
      <c r="Y19" s="92">
        <f t="shared" si="15"/>
        <v>3250</v>
      </c>
      <c r="Z19" s="92">
        <f t="shared" si="15"/>
        <v>3900</v>
      </c>
      <c r="AA19" s="93">
        <f t="shared" si="15"/>
        <v>3900</v>
      </c>
      <c r="AB19" s="92">
        <f t="shared" si="15"/>
        <v>3900</v>
      </c>
      <c r="AC19" s="92">
        <f t="shared" si="15"/>
        <v>3900</v>
      </c>
      <c r="AD19" s="92">
        <f t="shared" si="15"/>
        <v>3900</v>
      </c>
      <c r="AE19" s="92">
        <f t="shared" si="15"/>
        <v>4550</v>
      </c>
      <c r="AF19" s="92">
        <f t="shared" si="15"/>
        <v>4550</v>
      </c>
      <c r="AG19" s="92">
        <f t="shared" si="15"/>
        <v>4550</v>
      </c>
      <c r="AH19" s="92">
        <f t="shared" si="15"/>
        <v>4550</v>
      </c>
      <c r="AI19" s="92">
        <f t="shared" si="15"/>
        <v>4550</v>
      </c>
      <c r="AJ19" s="92">
        <f t="shared" ref="AJ19:BK19" si="16">(AJ10*$C19/12)* (1+TaxesAndBenfits)</f>
        <v>4550</v>
      </c>
      <c r="AK19" s="92">
        <f t="shared" si="16"/>
        <v>5199.9999999999991</v>
      </c>
      <c r="AL19" s="92">
        <f t="shared" si="16"/>
        <v>5199.9999999999991</v>
      </c>
      <c r="AM19" s="92">
        <f t="shared" si="16"/>
        <v>5199.9999999999991</v>
      </c>
      <c r="AN19" s="159">
        <f t="shared" si="16"/>
        <v>5199.9999999999991</v>
      </c>
      <c r="AO19" s="92">
        <f t="shared" si="16"/>
        <v>5199.9999999999991</v>
      </c>
      <c r="AP19" s="92">
        <f t="shared" si="16"/>
        <v>5199.9999999999991</v>
      </c>
      <c r="AQ19" s="92">
        <f t="shared" si="16"/>
        <v>5850</v>
      </c>
      <c r="AR19" s="92">
        <f t="shared" si="16"/>
        <v>5850</v>
      </c>
      <c r="AS19" s="92">
        <f t="shared" si="16"/>
        <v>5850</v>
      </c>
      <c r="AT19" s="92">
        <f t="shared" si="16"/>
        <v>5850</v>
      </c>
      <c r="AU19" s="92">
        <f t="shared" si="16"/>
        <v>5850</v>
      </c>
      <c r="AV19" s="92">
        <f t="shared" si="16"/>
        <v>5850</v>
      </c>
      <c r="AW19" s="92">
        <f t="shared" si="16"/>
        <v>5850</v>
      </c>
      <c r="AX19" s="92">
        <f t="shared" si="16"/>
        <v>6500</v>
      </c>
      <c r="AY19" s="93">
        <f t="shared" si="16"/>
        <v>6500</v>
      </c>
      <c r="AZ19" s="92">
        <f t="shared" si="16"/>
        <v>6500</v>
      </c>
      <c r="BA19" s="92">
        <f t="shared" si="16"/>
        <v>6500</v>
      </c>
      <c r="BB19" s="92">
        <f t="shared" si="16"/>
        <v>6500</v>
      </c>
      <c r="BC19" s="92">
        <f t="shared" si="16"/>
        <v>6500</v>
      </c>
      <c r="BD19" s="92">
        <f t="shared" si="16"/>
        <v>7149.9999999999991</v>
      </c>
      <c r="BE19" s="92">
        <f t="shared" si="16"/>
        <v>7149.9999999999991</v>
      </c>
      <c r="BF19" s="92">
        <f t="shared" si="16"/>
        <v>7149.9999999999991</v>
      </c>
      <c r="BG19" s="92">
        <f t="shared" si="16"/>
        <v>7149.9999999999991</v>
      </c>
      <c r="BH19" s="92">
        <f t="shared" si="16"/>
        <v>7149.9999999999991</v>
      </c>
      <c r="BI19" s="92">
        <f t="shared" si="16"/>
        <v>7149.9999999999991</v>
      </c>
      <c r="BJ19" s="92">
        <f t="shared" si="16"/>
        <v>7800</v>
      </c>
      <c r="BK19" s="93">
        <f t="shared" si="16"/>
        <v>7800</v>
      </c>
    </row>
    <row r="20" spans="2:63" ht="17" thickBot="1" x14ac:dyDescent="0.25">
      <c r="B20" s="160" t="s">
        <v>167</v>
      </c>
      <c r="C20" s="161"/>
      <c r="D20" s="356">
        <f>SUM(D14:D19)</f>
        <v>38000</v>
      </c>
      <c r="E20" s="357">
        <f t="shared" ref="E20:BK20" si="17">SUM(E14:E19)</f>
        <v>41750</v>
      </c>
      <c r="F20" s="357">
        <f t="shared" si="17"/>
        <v>41750</v>
      </c>
      <c r="G20" s="357">
        <f t="shared" si="17"/>
        <v>41750</v>
      </c>
      <c r="H20" s="357">
        <f t="shared" si="17"/>
        <v>42400</v>
      </c>
      <c r="I20" s="357">
        <f t="shared" si="17"/>
        <v>42400</v>
      </c>
      <c r="J20" s="357">
        <f t="shared" si="17"/>
        <v>54050</v>
      </c>
      <c r="K20" s="357">
        <f t="shared" si="17"/>
        <v>54050</v>
      </c>
      <c r="L20" s="357">
        <f t="shared" si="17"/>
        <v>54050</v>
      </c>
      <c r="M20" s="357">
        <f t="shared" si="17"/>
        <v>54050</v>
      </c>
      <c r="N20" s="357">
        <f t="shared" si="17"/>
        <v>54700</v>
      </c>
      <c r="O20" s="357">
        <f t="shared" si="17"/>
        <v>54700</v>
      </c>
      <c r="P20" s="356">
        <f t="shared" si="17"/>
        <v>68700</v>
      </c>
      <c r="Q20" s="357">
        <f t="shared" si="17"/>
        <v>68700</v>
      </c>
      <c r="R20" s="357">
        <f t="shared" si="17"/>
        <v>69350</v>
      </c>
      <c r="S20" s="357">
        <f t="shared" si="17"/>
        <v>69350</v>
      </c>
      <c r="T20" s="357">
        <f t="shared" si="17"/>
        <v>69350</v>
      </c>
      <c r="U20" s="357">
        <f t="shared" si="17"/>
        <v>69350</v>
      </c>
      <c r="V20" s="357">
        <f t="shared" si="17"/>
        <v>92000</v>
      </c>
      <c r="W20" s="357">
        <f t="shared" si="17"/>
        <v>92000</v>
      </c>
      <c r="X20" s="357">
        <f t="shared" si="17"/>
        <v>92000</v>
      </c>
      <c r="Y20" s="357">
        <f t="shared" si="17"/>
        <v>92000</v>
      </c>
      <c r="Z20" s="357">
        <f t="shared" si="17"/>
        <v>92650</v>
      </c>
      <c r="AA20" s="358">
        <f t="shared" si="17"/>
        <v>92650</v>
      </c>
      <c r="AB20" s="357">
        <f t="shared" si="17"/>
        <v>92650</v>
      </c>
      <c r="AC20" s="357">
        <f t="shared" si="17"/>
        <v>92650</v>
      </c>
      <c r="AD20" s="357">
        <f t="shared" si="17"/>
        <v>92650</v>
      </c>
      <c r="AE20" s="357">
        <f t="shared" si="17"/>
        <v>93300</v>
      </c>
      <c r="AF20" s="357">
        <f t="shared" si="17"/>
        <v>93300</v>
      </c>
      <c r="AG20" s="357">
        <f t="shared" si="17"/>
        <v>93300</v>
      </c>
      <c r="AH20" s="357">
        <f t="shared" si="17"/>
        <v>93300</v>
      </c>
      <c r="AI20" s="357">
        <f t="shared" si="17"/>
        <v>93300</v>
      </c>
      <c r="AJ20" s="357">
        <f t="shared" si="17"/>
        <v>93300</v>
      </c>
      <c r="AK20" s="357">
        <f t="shared" si="17"/>
        <v>93950</v>
      </c>
      <c r="AL20" s="357">
        <f t="shared" si="17"/>
        <v>93950</v>
      </c>
      <c r="AM20" s="358">
        <f t="shared" si="17"/>
        <v>93950</v>
      </c>
      <c r="AN20" s="356">
        <f t="shared" si="17"/>
        <v>93950</v>
      </c>
      <c r="AO20" s="357">
        <f t="shared" si="17"/>
        <v>93950</v>
      </c>
      <c r="AP20" s="357">
        <f t="shared" si="17"/>
        <v>93950</v>
      </c>
      <c r="AQ20" s="357">
        <f t="shared" si="17"/>
        <v>94600</v>
      </c>
      <c r="AR20" s="357">
        <f t="shared" si="17"/>
        <v>94600</v>
      </c>
      <c r="AS20" s="357">
        <f t="shared" si="17"/>
        <v>94600</v>
      </c>
      <c r="AT20" s="357">
        <f t="shared" si="17"/>
        <v>94600</v>
      </c>
      <c r="AU20" s="357">
        <f t="shared" si="17"/>
        <v>94600</v>
      </c>
      <c r="AV20" s="357">
        <f t="shared" si="17"/>
        <v>94600</v>
      </c>
      <c r="AW20" s="357">
        <f t="shared" si="17"/>
        <v>94600</v>
      </c>
      <c r="AX20" s="357">
        <f t="shared" si="17"/>
        <v>95250</v>
      </c>
      <c r="AY20" s="358">
        <f t="shared" si="17"/>
        <v>95250</v>
      </c>
      <c r="AZ20" s="356">
        <f t="shared" si="17"/>
        <v>95250</v>
      </c>
      <c r="BA20" s="357">
        <f t="shared" si="17"/>
        <v>95250</v>
      </c>
      <c r="BB20" s="357">
        <f t="shared" si="17"/>
        <v>95250</v>
      </c>
      <c r="BC20" s="357">
        <f t="shared" si="17"/>
        <v>95250</v>
      </c>
      <c r="BD20" s="357">
        <f t="shared" si="17"/>
        <v>95900</v>
      </c>
      <c r="BE20" s="357">
        <f t="shared" si="17"/>
        <v>95900</v>
      </c>
      <c r="BF20" s="357">
        <f t="shared" si="17"/>
        <v>95900</v>
      </c>
      <c r="BG20" s="357">
        <f t="shared" si="17"/>
        <v>95900</v>
      </c>
      <c r="BH20" s="357">
        <f t="shared" si="17"/>
        <v>95900</v>
      </c>
      <c r="BI20" s="357">
        <f t="shared" si="17"/>
        <v>95900</v>
      </c>
      <c r="BJ20" s="357">
        <f t="shared" si="17"/>
        <v>96550</v>
      </c>
      <c r="BK20" s="358">
        <f t="shared" si="17"/>
        <v>96550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6594-87DD-4245-AFA6-6689CFB4FDC3}">
  <dimension ref="B2:E18"/>
  <sheetViews>
    <sheetView zoomScale="240" zoomScaleNormal="240" workbookViewId="0">
      <selection activeCell="E17" sqref="E17:E18"/>
    </sheetView>
    <sheetView workbookViewId="1"/>
  </sheetViews>
  <sheetFormatPr baseColWidth="10" defaultRowHeight="16" x14ac:dyDescent="0.2"/>
  <cols>
    <col min="1" max="1" width="6.6640625" customWidth="1"/>
    <col min="2" max="2" width="43.33203125" bestFit="1" customWidth="1"/>
    <col min="3" max="5" width="18" customWidth="1"/>
  </cols>
  <sheetData>
    <row r="2" spans="2:5" ht="20" customHeight="1" x14ac:dyDescent="0.25">
      <c r="B2" s="35" t="s">
        <v>209</v>
      </c>
    </row>
    <row r="3" spans="2:5" ht="16" customHeight="1" thickBot="1" x14ac:dyDescent="0.3">
      <c r="B3" s="35"/>
    </row>
    <row r="4" spans="2:5" ht="17" thickBot="1" x14ac:dyDescent="0.25">
      <c r="B4" s="75"/>
      <c r="C4" s="244" t="s">
        <v>68</v>
      </c>
      <c r="D4" s="245" t="s">
        <v>180</v>
      </c>
      <c r="E4" s="243" t="s">
        <v>69</v>
      </c>
    </row>
    <row r="5" spans="2:5" x14ac:dyDescent="0.2">
      <c r="B5" s="2" t="s">
        <v>171</v>
      </c>
      <c r="C5" s="338">
        <f>AverageMonthlySubscriptionPrice</f>
        <v>35</v>
      </c>
      <c r="D5" s="192">
        <f>AverageMonthlySubscriptionPrice</f>
        <v>35</v>
      </c>
      <c r="E5" s="347">
        <f>AverageMonthlySubscriptionPrice</f>
        <v>35</v>
      </c>
    </row>
    <row r="6" spans="2:5" x14ac:dyDescent="0.2">
      <c r="B6" s="2" t="s">
        <v>172</v>
      </c>
      <c r="C6" s="339">
        <f>COGSSubscriptions</f>
        <v>0.3</v>
      </c>
      <c r="D6" s="345">
        <f>COGSSubscriptions</f>
        <v>0.3</v>
      </c>
      <c r="E6" s="348">
        <f>COGSSubscriptions</f>
        <v>0.3</v>
      </c>
    </row>
    <row r="7" spans="2:5" x14ac:dyDescent="0.2">
      <c r="B7" s="2" t="s">
        <v>173</v>
      </c>
      <c r="C7" s="340">
        <f>C6*C5</f>
        <v>10.5</v>
      </c>
      <c r="D7" s="192">
        <f>D6*D5</f>
        <v>10.5</v>
      </c>
      <c r="E7" s="349">
        <f>E6*E5</f>
        <v>10.5</v>
      </c>
    </row>
    <row r="8" spans="2:5" x14ac:dyDescent="0.2">
      <c r="B8" s="2" t="s">
        <v>207</v>
      </c>
      <c r="C8" s="340">
        <f>AverageShippingPerOrder</f>
        <v>3.5</v>
      </c>
      <c r="D8" s="192">
        <f>AverageShippingPerOrder</f>
        <v>3.5</v>
      </c>
      <c r="E8" s="349">
        <f>AverageShippingPerOrder</f>
        <v>3.5</v>
      </c>
    </row>
    <row r="9" spans="2:5" x14ac:dyDescent="0.2">
      <c r="B9" s="2" t="s">
        <v>104</v>
      </c>
      <c r="C9" s="353">
        <f>'Income Statement - Monthly'!P17/'Subscription Details'!O10</f>
        <v>0.98984771573604058</v>
      </c>
      <c r="D9" s="354">
        <f>'Income Statement - Monthly'!P17/'Subscription Details'!O10</f>
        <v>0.98984771573604058</v>
      </c>
      <c r="E9" s="355">
        <f>'Income Statement - Monthly'!P17/'Subscription Details'!O10</f>
        <v>0.98984771573604058</v>
      </c>
    </row>
    <row r="10" spans="2:5" x14ac:dyDescent="0.2">
      <c r="B10" s="2" t="s">
        <v>174</v>
      </c>
      <c r="C10" s="340">
        <f>C5-C7-C8-C9</f>
        <v>20.01015228426396</v>
      </c>
      <c r="D10" s="192">
        <f>D5-D7-D8-D9</f>
        <v>20.01015228426396</v>
      </c>
      <c r="E10" s="349">
        <f>E5-E7-E8-E9</f>
        <v>20.01015228426396</v>
      </c>
    </row>
    <row r="11" spans="2:5" x14ac:dyDescent="0.2">
      <c r="B11" s="2"/>
      <c r="C11" s="341"/>
      <c r="D11" s="192"/>
      <c r="E11" s="350"/>
    </row>
    <row r="12" spans="2:5" x14ac:dyDescent="0.2">
      <c r="B12" s="2" t="s">
        <v>175</v>
      </c>
      <c r="C12" s="342">
        <f>1/MonthlyChurnPercentage</f>
        <v>40</v>
      </c>
      <c r="D12" s="346">
        <f>1/(MonthlyChurnPercentage*0.9)</f>
        <v>44.444444444444436</v>
      </c>
      <c r="E12" s="351">
        <f>1/(MonthlyChurnPercentage*1.1)</f>
        <v>36.36363636363636</v>
      </c>
    </row>
    <row r="13" spans="2:5" x14ac:dyDescent="0.2">
      <c r="B13" s="2"/>
      <c r="C13" s="341"/>
      <c r="D13" s="192"/>
      <c r="E13" s="350"/>
    </row>
    <row r="14" spans="2:5" x14ac:dyDescent="0.2">
      <c r="B14" s="2" t="s">
        <v>179</v>
      </c>
      <c r="C14" s="343">
        <f>C12*C10</f>
        <v>800.40609137055844</v>
      </c>
      <c r="D14" s="192">
        <f>D12*D10</f>
        <v>889.34010152284247</v>
      </c>
      <c r="E14" s="349">
        <f>E12*E10</f>
        <v>727.64190124596212</v>
      </c>
    </row>
    <row r="15" spans="2:5" x14ac:dyDescent="0.2">
      <c r="B15" s="2"/>
      <c r="C15" s="341"/>
      <c r="D15" s="192"/>
      <c r="E15" s="350"/>
    </row>
    <row r="16" spans="2:5" x14ac:dyDescent="0.2">
      <c r="B16" s="2" t="s">
        <v>176</v>
      </c>
      <c r="C16" s="343">
        <f>'Marketing Detail'!O28</f>
        <v>208.68323815922071</v>
      </c>
      <c r="D16" s="192">
        <f>'Marketing Detail'!O14</f>
        <v>259.93103448275861</v>
      </c>
      <c r="E16" s="349">
        <f>'Marketing Detail'!O42</f>
        <v>294.15332362930616</v>
      </c>
    </row>
    <row r="17" spans="2:5" ht="17" thickBot="1" x14ac:dyDescent="0.25">
      <c r="B17" s="2" t="s">
        <v>177</v>
      </c>
      <c r="C17" s="344">
        <f>C16/C10</f>
        <v>10.428868066303014</v>
      </c>
      <c r="D17" s="346">
        <f>D16/D10</f>
        <v>12.989957836911072</v>
      </c>
      <c r="E17" s="352">
        <f>E16/E10</f>
        <v>14.700204148902413</v>
      </c>
    </row>
    <row r="18" spans="2:5" s="1" customFormat="1" ht="17" thickBot="1" x14ac:dyDescent="0.25">
      <c r="B18" s="7" t="s">
        <v>178</v>
      </c>
      <c r="C18" s="246">
        <f>C14/C16</f>
        <v>3.8355073384469254</v>
      </c>
      <c r="D18" s="247">
        <f>D14/D16</f>
        <v>3.4214463974744538</v>
      </c>
      <c r="E18" s="248">
        <f>E14/E16</f>
        <v>2.4736824057202935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E353-978E-CD44-9B78-80541A39E060}">
  <dimension ref="B2:H2"/>
  <sheetViews>
    <sheetView zoomScale="160" zoomScaleNormal="160" workbookViewId="0">
      <selection activeCell="T24" sqref="T24"/>
    </sheetView>
    <sheetView workbookViewId="1"/>
  </sheetViews>
  <sheetFormatPr baseColWidth="10" defaultRowHeight="16" x14ac:dyDescent="0.2"/>
  <cols>
    <col min="1" max="1" width="3" customWidth="1"/>
  </cols>
  <sheetData>
    <row r="2" spans="2:8" ht="20" customHeight="1" x14ac:dyDescent="0.25">
      <c r="B2" s="35" t="s">
        <v>181</v>
      </c>
      <c r="H2" s="327" t="s">
        <v>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7842-E062-A445-9F89-11521E398EC9}">
  <dimension ref="A1:BK26"/>
  <sheetViews>
    <sheetView zoomScale="180" zoomScaleNormal="1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9" sqref="H9"/>
    </sheetView>
    <sheetView workbookViewId="1"/>
  </sheetViews>
  <sheetFormatPr baseColWidth="10" defaultRowHeight="16" x14ac:dyDescent="0.2"/>
  <cols>
    <col min="2" max="2" width="7.6640625" customWidth="1"/>
    <col min="3" max="3" width="22.5" bestFit="1" customWidth="1"/>
    <col min="4" max="15" width="13.83203125" customWidth="1"/>
  </cols>
  <sheetData>
    <row r="1" spans="2:63" ht="17" thickBot="1" x14ac:dyDescent="0.25"/>
    <row r="2" spans="2:63" ht="20" thickBot="1" x14ac:dyDescent="0.3">
      <c r="B2" s="35" t="s">
        <v>161</v>
      </c>
      <c r="E2" s="62" t="s">
        <v>162</v>
      </c>
      <c r="F2" s="63">
        <v>4</v>
      </c>
    </row>
    <row r="3" spans="2:63" ht="17" thickBot="1" x14ac:dyDescent="0.25"/>
    <row r="4" spans="2:63" s="15" customFormat="1" ht="17" thickBot="1" x14ac:dyDescent="0.25">
      <c r="B4" s="58"/>
      <c r="C4" s="59"/>
      <c r="D4" s="264">
        <v>45292</v>
      </c>
      <c r="E4" s="265">
        <v>45323</v>
      </c>
      <c r="F4" s="265">
        <v>45352</v>
      </c>
      <c r="G4" s="265">
        <v>45383</v>
      </c>
      <c r="H4" s="60">
        <v>45413</v>
      </c>
      <c r="I4" s="60">
        <v>45444</v>
      </c>
      <c r="J4" s="60">
        <v>45474</v>
      </c>
      <c r="K4" s="60">
        <v>45505</v>
      </c>
      <c r="L4" s="60">
        <v>45536</v>
      </c>
      <c r="M4" s="60">
        <v>45566</v>
      </c>
      <c r="N4" s="60">
        <v>45597</v>
      </c>
      <c r="O4" s="61">
        <v>45627</v>
      </c>
      <c r="P4" s="78">
        <v>45658</v>
      </c>
      <c r="Q4" s="60">
        <v>45689</v>
      </c>
      <c r="R4" s="60">
        <v>45717</v>
      </c>
      <c r="S4" s="60">
        <v>45748</v>
      </c>
      <c r="T4" s="60">
        <v>45778</v>
      </c>
      <c r="U4" s="60">
        <v>45809</v>
      </c>
      <c r="V4" s="60">
        <v>45839</v>
      </c>
      <c r="W4" s="60">
        <v>45870</v>
      </c>
      <c r="X4" s="60">
        <v>45901</v>
      </c>
      <c r="Y4" s="60">
        <v>45931</v>
      </c>
      <c r="Z4" s="60">
        <v>45962</v>
      </c>
      <c r="AA4" s="60">
        <v>45992</v>
      </c>
      <c r="AB4" s="78">
        <v>46023</v>
      </c>
      <c r="AC4" s="60">
        <v>46054</v>
      </c>
      <c r="AD4" s="60">
        <v>46082</v>
      </c>
      <c r="AE4" s="60">
        <v>46113</v>
      </c>
      <c r="AF4" s="60">
        <v>46143</v>
      </c>
      <c r="AG4" s="60">
        <v>46174</v>
      </c>
      <c r="AH4" s="60">
        <v>46204</v>
      </c>
      <c r="AI4" s="60">
        <v>46235</v>
      </c>
      <c r="AJ4" s="60">
        <v>46266</v>
      </c>
      <c r="AK4" s="60">
        <v>46296</v>
      </c>
      <c r="AL4" s="60">
        <v>46327</v>
      </c>
      <c r="AM4" s="61">
        <v>46357</v>
      </c>
      <c r="AN4" s="78">
        <v>46388</v>
      </c>
      <c r="AO4" s="60">
        <v>46419</v>
      </c>
      <c r="AP4" s="60">
        <v>46447</v>
      </c>
      <c r="AQ4" s="60">
        <v>46478</v>
      </c>
      <c r="AR4" s="60">
        <v>46508</v>
      </c>
      <c r="AS4" s="60">
        <v>46539</v>
      </c>
      <c r="AT4" s="60">
        <v>46569</v>
      </c>
      <c r="AU4" s="60">
        <v>46600</v>
      </c>
      <c r="AV4" s="60">
        <v>46631</v>
      </c>
      <c r="AW4" s="60">
        <v>46661</v>
      </c>
      <c r="AX4" s="60">
        <v>46692</v>
      </c>
      <c r="AY4" s="61">
        <v>46722</v>
      </c>
      <c r="AZ4" s="60">
        <v>46753</v>
      </c>
      <c r="BA4" s="60">
        <v>46784</v>
      </c>
      <c r="BB4" s="60">
        <v>46813</v>
      </c>
      <c r="BC4" s="60">
        <v>46844</v>
      </c>
      <c r="BD4" s="60">
        <v>46874</v>
      </c>
      <c r="BE4" s="60">
        <v>46905</v>
      </c>
      <c r="BF4" s="60">
        <v>46935</v>
      </c>
      <c r="BG4" s="60">
        <v>46966</v>
      </c>
      <c r="BH4" s="60">
        <v>46997</v>
      </c>
      <c r="BI4" s="60">
        <v>47027</v>
      </c>
      <c r="BJ4" s="60">
        <v>47058</v>
      </c>
      <c r="BK4" s="61">
        <v>47088</v>
      </c>
    </row>
    <row r="5" spans="2:63" s="31" customFormat="1" x14ac:dyDescent="0.2">
      <c r="B5" s="42"/>
      <c r="C5" s="31" t="s">
        <v>14</v>
      </c>
      <c r="D5" s="396">
        <v>9387</v>
      </c>
      <c r="E5" s="397">
        <v>9783</v>
      </c>
      <c r="F5" s="397">
        <v>10892</v>
      </c>
      <c r="G5" s="397">
        <v>11034</v>
      </c>
      <c r="H5" s="398">
        <v>11527.377521613833</v>
      </c>
      <c r="I5" s="398">
        <f t="shared" ref="I5:AA5" si="0">H5</f>
        <v>11527.377521613833</v>
      </c>
      <c r="J5" s="398">
        <f t="shared" si="0"/>
        <v>11527.377521613833</v>
      </c>
      <c r="K5" s="398">
        <f t="shared" si="0"/>
        <v>11527.377521613833</v>
      </c>
      <c r="L5" s="398">
        <f t="shared" si="0"/>
        <v>11527.377521613833</v>
      </c>
      <c r="M5" s="398">
        <f t="shared" si="0"/>
        <v>11527.377521613833</v>
      </c>
      <c r="N5" s="398">
        <f t="shared" si="0"/>
        <v>11527.377521613833</v>
      </c>
      <c r="O5" s="399">
        <f t="shared" si="0"/>
        <v>11527.377521613833</v>
      </c>
      <c r="P5" s="43">
        <f t="shared" si="0"/>
        <v>11527.377521613833</v>
      </c>
      <c r="Q5" s="43">
        <f t="shared" si="0"/>
        <v>11527.377521613833</v>
      </c>
      <c r="R5" s="43">
        <f t="shared" si="0"/>
        <v>11527.377521613833</v>
      </c>
      <c r="S5" s="43">
        <f t="shared" si="0"/>
        <v>11527.377521613833</v>
      </c>
      <c r="T5" s="43">
        <f t="shared" si="0"/>
        <v>11527.377521613833</v>
      </c>
      <c r="U5" s="43">
        <f t="shared" si="0"/>
        <v>11527.377521613833</v>
      </c>
      <c r="V5" s="43">
        <f t="shared" si="0"/>
        <v>11527.377521613833</v>
      </c>
      <c r="W5" s="43">
        <f t="shared" si="0"/>
        <v>11527.377521613833</v>
      </c>
      <c r="X5" s="43">
        <f t="shared" si="0"/>
        <v>11527.377521613833</v>
      </c>
      <c r="Y5" s="43">
        <f t="shared" si="0"/>
        <v>11527.377521613833</v>
      </c>
      <c r="Z5" s="43">
        <f t="shared" si="0"/>
        <v>11527.377521613833</v>
      </c>
      <c r="AA5" s="43">
        <f t="shared" si="0"/>
        <v>11527.377521613833</v>
      </c>
      <c r="AB5" s="42"/>
      <c r="AM5" s="44"/>
      <c r="AN5" s="42"/>
      <c r="AY5" s="44"/>
      <c r="BK5" s="44"/>
    </row>
    <row r="6" spans="2:63" s="31" customFormat="1" ht="17" thickBot="1" x14ac:dyDescent="0.25">
      <c r="B6" s="42"/>
      <c r="C6" s="31" t="s">
        <v>8</v>
      </c>
      <c r="D6" s="400">
        <v>2.5</v>
      </c>
      <c r="E6" s="401">
        <v>2.5</v>
      </c>
      <c r="F6" s="401">
        <v>3.5</v>
      </c>
      <c r="G6" s="401">
        <v>4</v>
      </c>
      <c r="H6" s="402">
        <f>Assumptions!$G$5</f>
        <v>4</v>
      </c>
      <c r="I6" s="402">
        <f>Assumptions!$G$5</f>
        <v>4</v>
      </c>
      <c r="J6" s="402">
        <f>Assumptions!$G$5</f>
        <v>4</v>
      </c>
      <c r="K6" s="402">
        <f>Assumptions!$G$5</f>
        <v>4</v>
      </c>
      <c r="L6" s="402">
        <f>Assumptions!$G$5</f>
        <v>4</v>
      </c>
      <c r="M6" s="402">
        <f>Assumptions!$G$5</f>
        <v>4</v>
      </c>
      <c r="N6" s="402">
        <f>Assumptions!$G$5</f>
        <v>4</v>
      </c>
      <c r="O6" s="403">
        <f>Assumptions!$G$5</f>
        <v>4</v>
      </c>
      <c r="P6" s="395">
        <f>Assumptions!$G$5</f>
        <v>4</v>
      </c>
      <c r="Q6" s="395">
        <f>Assumptions!$G$5</f>
        <v>4</v>
      </c>
      <c r="R6" s="395">
        <f>Assumptions!$G$5</f>
        <v>4</v>
      </c>
      <c r="S6" s="395">
        <f>Assumptions!$G$5</f>
        <v>4</v>
      </c>
      <c r="T6" s="395">
        <f>Assumptions!$G$5</f>
        <v>4</v>
      </c>
      <c r="U6" s="395">
        <f>Assumptions!$G$5</f>
        <v>4</v>
      </c>
      <c r="V6" s="395">
        <f>Assumptions!$G$5</f>
        <v>4</v>
      </c>
      <c r="W6" s="395">
        <f>Assumptions!$G$5</f>
        <v>4</v>
      </c>
      <c r="X6" s="395">
        <f>Assumptions!$G$5</f>
        <v>4</v>
      </c>
      <c r="Y6" s="395">
        <f>Assumptions!$G$5</f>
        <v>4</v>
      </c>
      <c r="Z6" s="395">
        <f>Assumptions!$G$5</f>
        <v>4</v>
      </c>
      <c r="AA6" s="395">
        <f>Assumptions!$G$5</f>
        <v>4</v>
      </c>
      <c r="AB6" s="42"/>
      <c r="AM6" s="44"/>
      <c r="AN6" s="42"/>
      <c r="AY6" s="44"/>
      <c r="BK6" s="44"/>
    </row>
    <row r="7" spans="2:63" s="1" customFormat="1" ht="17" thickBot="1" x14ac:dyDescent="0.25">
      <c r="B7" s="7"/>
      <c r="C7" s="55" t="s">
        <v>157</v>
      </c>
      <c r="D7" s="266">
        <f>D5*D6</f>
        <v>23467.5</v>
      </c>
      <c r="E7" s="267">
        <f t="shared" ref="E7:H7" si="1">E5*E6</f>
        <v>24457.5</v>
      </c>
      <c r="F7" s="267">
        <f t="shared" si="1"/>
        <v>38122</v>
      </c>
      <c r="G7" s="267">
        <f t="shared" si="1"/>
        <v>44136</v>
      </c>
      <c r="H7" s="155">
        <f t="shared" si="1"/>
        <v>46109.510086455331</v>
      </c>
      <c r="I7" s="155">
        <f t="shared" ref="I7" si="2">I5*I6</f>
        <v>46109.510086455331</v>
      </c>
      <c r="J7" s="155">
        <f t="shared" ref="J7" si="3">J5*J6</f>
        <v>46109.510086455331</v>
      </c>
      <c r="K7" s="155">
        <f t="shared" ref="K7" si="4">K5*K6</f>
        <v>46109.510086455331</v>
      </c>
      <c r="L7" s="155">
        <f t="shared" ref="L7" si="5">L5*L6</f>
        <v>46109.510086455331</v>
      </c>
      <c r="M7" s="155">
        <f t="shared" ref="M7" si="6">M5*M6</f>
        <v>46109.510086455331</v>
      </c>
      <c r="N7" s="155">
        <f t="shared" ref="N7" si="7">N5*N6</f>
        <v>46109.510086455331</v>
      </c>
      <c r="O7" s="156">
        <f t="shared" ref="O7" si="8">O5*O6</f>
        <v>46109.510086455331</v>
      </c>
      <c r="P7" s="155">
        <f t="shared" ref="P7" si="9">P5*P6</f>
        <v>46109.510086455331</v>
      </c>
      <c r="Q7" s="155">
        <f t="shared" ref="Q7" si="10">Q5*Q6</f>
        <v>46109.510086455331</v>
      </c>
      <c r="R7" s="155">
        <f t="shared" ref="R7" si="11">R5*R6</f>
        <v>46109.510086455331</v>
      </c>
      <c r="S7" s="155">
        <f t="shared" ref="S7" si="12">S5*S6</f>
        <v>46109.510086455331</v>
      </c>
      <c r="T7" s="155">
        <f t="shared" ref="T7" si="13">T5*T6</f>
        <v>46109.510086455331</v>
      </c>
      <c r="U7" s="155">
        <f t="shared" ref="U7" si="14">U5*U6</f>
        <v>46109.510086455331</v>
      </c>
      <c r="V7" s="155">
        <f t="shared" ref="V7" si="15">V5*V6</f>
        <v>46109.510086455331</v>
      </c>
      <c r="W7" s="155">
        <f t="shared" ref="W7" si="16">W5*W6</f>
        <v>46109.510086455331</v>
      </c>
      <c r="X7" s="155">
        <f t="shared" ref="X7" si="17">X5*X6</f>
        <v>46109.510086455331</v>
      </c>
      <c r="Y7" s="155">
        <f t="shared" ref="Y7" si="18">Y5*Y6</f>
        <v>46109.510086455331</v>
      </c>
      <c r="Z7" s="155">
        <f t="shared" ref="Z7" si="19">Z5*Z6</f>
        <v>46109.510086455331</v>
      </c>
      <c r="AA7" s="155">
        <f t="shared" ref="AA7" si="20">AA5*AA6</f>
        <v>46109.510086455331</v>
      </c>
      <c r="AB7" s="7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7"/>
      <c r="AN7" s="7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7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7"/>
    </row>
    <row r="8" spans="2:63" x14ac:dyDescent="0.2">
      <c r="B8" s="2"/>
      <c r="D8" s="268"/>
      <c r="E8" s="269"/>
      <c r="F8" s="269"/>
      <c r="G8" s="269"/>
      <c r="H8" s="48"/>
      <c r="I8" s="48"/>
      <c r="J8" s="48"/>
      <c r="K8" s="48"/>
      <c r="L8" s="48"/>
      <c r="M8" s="48"/>
      <c r="N8" s="48"/>
      <c r="O8" s="66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2"/>
      <c r="AM8" s="3"/>
      <c r="AN8" s="2"/>
      <c r="AY8" s="3"/>
      <c r="BK8" s="3"/>
    </row>
    <row r="9" spans="2:63" x14ac:dyDescent="0.2">
      <c r="B9" s="2"/>
      <c r="C9" t="s">
        <v>15</v>
      </c>
      <c r="D9" s="268">
        <v>7234</v>
      </c>
      <c r="E9" s="269">
        <v>7563</v>
      </c>
      <c r="F9" s="269">
        <v>8231</v>
      </c>
      <c r="G9" s="269">
        <v>8563</v>
      </c>
      <c r="H9" s="48">
        <f>H5*Assumptions!$G$6</f>
        <v>8876.08069164265</v>
      </c>
      <c r="I9" s="48">
        <f>I5*Assumptions!$G$6</f>
        <v>8876.08069164265</v>
      </c>
      <c r="J9" s="48">
        <f>J5*Assumptions!$G$6</f>
        <v>8876.08069164265</v>
      </c>
      <c r="K9" s="48">
        <f>K5*Assumptions!$G$6</f>
        <v>8876.08069164265</v>
      </c>
      <c r="L9" s="48">
        <f>L5*Assumptions!$G$6</f>
        <v>8876.08069164265</v>
      </c>
      <c r="M9" s="48">
        <f>M5*Assumptions!$G$6</f>
        <v>8876.08069164265</v>
      </c>
      <c r="N9" s="48">
        <f>N5*Assumptions!$G$6</f>
        <v>8876.08069164265</v>
      </c>
      <c r="O9" s="66">
        <f>O5*Assumptions!$G$6</f>
        <v>8876.08069164265</v>
      </c>
      <c r="P9" s="48">
        <f>P5*Assumptions!$G$6</f>
        <v>8876.08069164265</v>
      </c>
      <c r="Q9" s="48">
        <f>Q5*Assumptions!$G$6</f>
        <v>8876.08069164265</v>
      </c>
      <c r="R9" s="48">
        <f>R5*Assumptions!$G$6</f>
        <v>8876.08069164265</v>
      </c>
      <c r="S9" s="48">
        <f>S5*Assumptions!$G$6</f>
        <v>8876.08069164265</v>
      </c>
      <c r="T9" s="48">
        <f>T5*Assumptions!$G$6</f>
        <v>8876.08069164265</v>
      </c>
      <c r="U9" s="48">
        <f>U5*Assumptions!$G$6</f>
        <v>8876.08069164265</v>
      </c>
      <c r="V9" s="48">
        <f>V5*Assumptions!$G$6</f>
        <v>8876.08069164265</v>
      </c>
      <c r="W9" s="48">
        <f>W5*Assumptions!$G$6</f>
        <v>8876.08069164265</v>
      </c>
      <c r="X9" s="48">
        <f>X5*Assumptions!$G$6</f>
        <v>8876.08069164265</v>
      </c>
      <c r="Y9" s="48">
        <f>Y5*Assumptions!$G$6</f>
        <v>8876.08069164265</v>
      </c>
      <c r="Z9" s="48">
        <f>Z5*Assumptions!$G$6</f>
        <v>8876.08069164265</v>
      </c>
      <c r="AA9" s="48">
        <f>AA5*Assumptions!$G$6</f>
        <v>8876.08069164265</v>
      </c>
      <c r="AB9" s="2"/>
      <c r="AM9" s="3"/>
      <c r="AN9" s="2"/>
      <c r="AY9" s="3"/>
      <c r="BK9" s="3"/>
    </row>
    <row r="10" spans="2:63" x14ac:dyDescent="0.2">
      <c r="B10" s="49">
        <f>Assumptions!C22</f>
        <v>3.5000000000000003E-2</v>
      </c>
      <c r="C10" t="s">
        <v>12</v>
      </c>
      <c r="D10" s="268">
        <v>821.36250000000007</v>
      </c>
      <c r="E10" s="269">
        <v>856.01250000000005</v>
      </c>
      <c r="F10" s="269">
        <v>1334.2700000000002</v>
      </c>
      <c r="G10" s="269">
        <v>1544.7600000000002</v>
      </c>
      <c r="H10" s="48">
        <f t="shared" ref="H10:AA10" si="21">H7*CCProcessingFees</f>
        <v>1613.8328530259369</v>
      </c>
      <c r="I10" s="48">
        <f t="shared" si="21"/>
        <v>1613.8328530259369</v>
      </c>
      <c r="J10" s="48">
        <f t="shared" si="21"/>
        <v>1613.8328530259369</v>
      </c>
      <c r="K10" s="48">
        <f t="shared" si="21"/>
        <v>1613.8328530259369</v>
      </c>
      <c r="L10" s="48">
        <f t="shared" si="21"/>
        <v>1613.8328530259369</v>
      </c>
      <c r="M10" s="48">
        <f t="shared" si="21"/>
        <v>1613.8328530259369</v>
      </c>
      <c r="N10" s="48">
        <f t="shared" si="21"/>
        <v>1613.8328530259369</v>
      </c>
      <c r="O10" s="66">
        <f t="shared" si="21"/>
        <v>1613.8328530259369</v>
      </c>
      <c r="P10" s="38">
        <f t="shared" si="21"/>
        <v>1613.8328530259369</v>
      </c>
      <c r="Q10" s="38">
        <f t="shared" si="21"/>
        <v>1613.8328530259369</v>
      </c>
      <c r="R10" s="38">
        <f t="shared" si="21"/>
        <v>1613.8328530259369</v>
      </c>
      <c r="S10" s="38">
        <f t="shared" si="21"/>
        <v>1613.8328530259369</v>
      </c>
      <c r="T10" s="38">
        <f t="shared" si="21"/>
        <v>1613.8328530259369</v>
      </c>
      <c r="U10" s="38">
        <f t="shared" si="21"/>
        <v>1613.8328530259369</v>
      </c>
      <c r="V10" s="38">
        <f t="shared" si="21"/>
        <v>1613.8328530259369</v>
      </c>
      <c r="W10" s="38">
        <f t="shared" si="21"/>
        <v>1613.8328530259369</v>
      </c>
      <c r="X10" s="38">
        <f t="shared" si="21"/>
        <v>1613.8328530259369</v>
      </c>
      <c r="Y10" s="38">
        <f t="shared" si="21"/>
        <v>1613.8328530259369</v>
      </c>
      <c r="Z10" s="38">
        <f t="shared" si="21"/>
        <v>1613.8328530259369</v>
      </c>
      <c r="AA10" s="38">
        <f t="shared" si="21"/>
        <v>1613.8328530259369</v>
      </c>
      <c r="AB10" s="2"/>
      <c r="AM10" s="3"/>
      <c r="AN10" s="2"/>
      <c r="AY10" s="3"/>
      <c r="BK10" s="3"/>
    </row>
    <row r="11" spans="2:63" s="1" customFormat="1" x14ac:dyDescent="0.2">
      <c r="B11" s="50"/>
      <c r="C11" s="1" t="s">
        <v>32</v>
      </c>
      <c r="D11" s="272">
        <f>D7-D9-D10</f>
        <v>15412.137500000001</v>
      </c>
      <c r="E11" s="273">
        <f t="shared" ref="E11:AA11" si="22">E7-E9-E10</f>
        <v>16038.487499999999</v>
      </c>
      <c r="F11" s="273">
        <f t="shared" si="22"/>
        <v>28556.73</v>
      </c>
      <c r="G11" s="273">
        <f t="shared" si="22"/>
        <v>34028.239999999998</v>
      </c>
      <c r="H11" s="46">
        <f t="shared" si="22"/>
        <v>35619.596541786741</v>
      </c>
      <c r="I11" s="46">
        <f t="shared" si="22"/>
        <v>35619.596541786741</v>
      </c>
      <c r="J11" s="46">
        <f t="shared" si="22"/>
        <v>35619.596541786741</v>
      </c>
      <c r="K11" s="46">
        <f t="shared" si="22"/>
        <v>35619.596541786741</v>
      </c>
      <c r="L11" s="46">
        <f t="shared" si="22"/>
        <v>35619.596541786741</v>
      </c>
      <c r="M11" s="46">
        <f t="shared" si="22"/>
        <v>35619.596541786741</v>
      </c>
      <c r="N11" s="46">
        <f t="shared" si="22"/>
        <v>35619.596541786741</v>
      </c>
      <c r="O11" s="74">
        <f t="shared" si="22"/>
        <v>35619.596541786741</v>
      </c>
      <c r="P11" s="46">
        <f t="shared" si="22"/>
        <v>35619.596541786741</v>
      </c>
      <c r="Q11" s="46">
        <f t="shared" si="22"/>
        <v>35619.596541786741</v>
      </c>
      <c r="R11" s="46">
        <f t="shared" si="22"/>
        <v>35619.596541786741</v>
      </c>
      <c r="S11" s="46">
        <f t="shared" si="22"/>
        <v>35619.596541786741</v>
      </c>
      <c r="T11" s="46">
        <f t="shared" si="22"/>
        <v>35619.596541786741</v>
      </c>
      <c r="U11" s="46">
        <f t="shared" si="22"/>
        <v>35619.596541786741</v>
      </c>
      <c r="V11" s="46">
        <f t="shared" si="22"/>
        <v>35619.596541786741</v>
      </c>
      <c r="W11" s="46">
        <f t="shared" si="22"/>
        <v>35619.596541786741</v>
      </c>
      <c r="X11" s="46">
        <f t="shared" si="22"/>
        <v>35619.596541786741</v>
      </c>
      <c r="Y11" s="46">
        <f t="shared" si="22"/>
        <v>35619.596541786741</v>
      </c>
      <c r="Z11" s="46">
        <f t="shared" si="22"/>
        <v>35619.596541786741</v>
      </c>
      <c r="AA11" s="46">
        <f t="shared" si="22"/>
        <v>35619.596541786741</v>
      </c>
      <c r="AB11" s="45"/>
      <c r="AM11" s="47"/>
      <c r="AN11" s="45"/>
      <c r="AY11" s="47"/>
      <c r="BK11" s="47"/>
    </row>
    <row r="12" spans="2:63" x14ac:dyDescent="0.2">
      <c r="B12" s="2"/>
      <c r="D12" s="274"/>
      <c r="E12" s="275"/>
      <c r="F12" s="275"/>
      <c r="G12" s="275"/>
      <c r="O12" s="3"/>
      <c r="AB12" s="2"/>
      <c r="AM12" s="3"/>
      <c r="AN12" s="2"/>
      <c r="AY12" s="3"/>
      <c r="BK12" s="3"/>
    </row>
    <row r="13" spans="2:63" x14ac:dyDescent="0.2">
      <c r="B13" s="2"/>
      <c r="C13" t="s">
        <v>18</v>
      </c>
      <c r="D13" s="276">
        <v>5000</v>
      </c>
      <c r="E13" s="332">
        <v>5000</v>
      </c>
      <c r="F13" s="332">
        <v>5000</v>
      </c>
      <c r="G13" s="332">
        <v>5000</v>
      </c>
      <c r="H13" s="11">
        <f>Assumptions!$K$5</f>
        <v>5000</v>
      </c>
      <c r="I13" s="11">
        <f>Assumptions!$K$5</f>
        <v>5000</v>
      </c>
      <c r="J13" s="11">
        <f>Assumptions!$K$5</f>
        <v>5000</v>
      </c>
      <c r="K13" s="11">
        <f>Assumptions!$K$5</f>
        <v>5000</v>
      </c>
      <c r="L13" s="11">
        <f>Assumptions!$K$5</f>
        <v>5000</v>
      </c>
      <c r="M13" s="11">
        <f>Assumptions!$K$5</f>
        <v>5000</v>
      </c>
      <c r="N13" s="11">
        <f>Assumptions!$K$5</f>
        <v>5000</v>
      </c>
      <c r="O13" s="85">
        <f>Assumptions!$K$5</f>
        <v>5000</v>
      </c>
      <c r="P13" s="11">
        <f>Assumptions!$K$5</f>
        <v>5000</v>
      </c>
      <c r="Q13" s="11">
        <f>Assumptions!$K$5</f>
        <v>5000</v>
      </c>
      <c r="R13" s="11">
        <f>Assumptions!$K$5</f>
        <v>5000</v>
      </c>
      <c r="S13" s="11">
        <f>Assumptions!$K$5</f>
        <v>5000</v>
      </c>
      <c r="T13" s="11">
        <f>Assumptions!$K$5</f>
        <v>5000</v>
      </c>
      <c r="U13" s="11">
        <f>Assumptions!$K$5</f>
        <v>5000</v>
      </c>
      <c r="V13" s="11">
        <f>Assumptions!$K$5</f>
        <v>5000</v>
      </c>
      <c r="W13" s="11">
        <f>Assumptions!$K$5</f>
        <v>5000</v>
      </c>
      <c r="X13" s="11">
        <f>Assumptions!$K$5</f>
        <v>5000</v>
      </c>
      <c r="Y13" s="11">
        <f>Assumptions!$K$5</f>
        <v>5000</v>
      </c>
      <c r="Z13" s="11">
        <f>Assumptions!$K$5</f>
        <v>5000</v>
      </c>
      <c r="AA13" s="11">
        <f>Assumptions!$K$5</f>
        <v>5000</v>
      </c>
      <c r="AB13" s="2"/>
      <c r="AM13" s="3"/>
      <c r="AN13" s="2"/>
      <c r="AY13" s="3"/>
      <c r="BK13" s="3"/>
    </row>
    <row r="14" spans="2:63" x14ac:dyDescent="0.2">
      <c r="B14" s="51">
        <f>TaxesAndBenfits</f>
        <v>0.2</v>
      </c>
      <c r="C14" t="s">
        <v>212</v>
      </c>
      <c r="D14" s="276">
        <v>1000</v>
      </c>
      <c r="E14" s="332">
        <v>1000</v>
      </c>
      <c r="F14" s="332">
        <v>1000</v>
      </c>
      <c r="G14" s="332">
        <v>1000</v>
      </c>
      <c r="H14" s="11">
        <f t="shared" ref="H14:AA14" si="23">H13*TaxesAndBenfits</f>
        <v>1000</v>
      </c>
      <c r="I14" s="11">
        <f t="shared" si="23"/>
        <v>1000</v>
      </c>
      <c r="J14" s="11">
        <f t="shared" si="23"/>
        <v>1000</v>
      </c>
      <c r="K14" s="11">
        <f t="shared" si="23"/>
        <v>1000</v>
      </c>
      <c r="L14" s="11">
        <f t="shared" si="23"/>
        <v>1000</v>
      </c>
      <c r="M14" s="11">
        <f t="shared" si="23"/>
        <v>1000</v>
      </c>
      <c r="N14" s="11">
        <f t="shared" si="23"/>
        <v>1000</v>
      </c>
      <c r="O14" s="85">
        <f t="shared" si="23"/>
        <v>1000</v>
      </c>
      <c r="P14" s="11">
        <f t="shared" si="23"/>
        <v>1000</v>
      </c>
      <c r="Q14" s="11">
        <f t="shared" si="23"/>
        <v>1000</v>
      </c>
      <c r="R14" s="11">
        <f t="shared" si="23"/>
        <v>1000</v>
      </c>
      <c r="S14" s="11">
        <f t="shared" si="23"/>
        <v>1000</v>
      </c>
      <c r="T14" s="11">
        <f t="shared" si="23"/>
        <v>1000</v>
      </c>
      <c r="U14" s="11">
        <f t="shared" si="23"/>
        <v>1000</v>
      </c>
      <c r="V14" s="11">
        <f t="shared" si="23"/>
        <v>1000</v>
      </c>
      <c r="W14" s="11">
        <f t="shared" si="23"/>
        <v>1000</v>
      </c>
      <c r="X14" s="11">
        <f t="shared" si="23"/>
        <v>1000</v>
      </c>
      <c r="Y14" s="11">
        <f t="shared" si="23"/>
        <v>1000</v>
      </c>
      <c r="Z14" s="11">
        <f t="shared" si="23"/>
        <v>1000</v>
      </c>
      <c r="AA14" s="11">
        <f t="shared" si="23"/>
        <v>1000</v>
      </c>
      <c r="AB14" s="2"/>
      <c r="AM14" s="3"/>
      <c r="AN14" s="2"/>
      <c r="AY14" s="3"/>
      <c r="BK14" s="3"/>
    </row>
    <row r="15" spans="2:63" x14ac:dyDescent="0.2">
      <c r="B15" s="2"/>
      <c r="C15" t="s">
        <v>21</v>
      </c>
      <c r="D15" s="277">
        <v>400</v>
      </c>
      <c r="E15" s="278">
        <v>400</v>
      </c>
      <c r="F15" s="278">
        <v>400</v>
      </c>
      <c r="G15" s="278">
        <v>400</v>
      </c>
      <c r="H15" s="39">
        <f t="shared" ref="H15:AA15" si="24">G15</f>
        <v>400</v>
      </c>
      <c r="I15" s="39">
        <f t="shared" si="24"/>
        <v>400</v>
      </c>
      <c r="J15" s="39">
        <f t="shared" si="24"/>
        <v>400</v>
      </c>
      <c r="K15" s="39">
        <f t="shared" si="24"/>
        <v>400</v>
      </c>
      <c r="L15" s="39">
        <f t="shared" si="24"/>
        <v>400</v>
      </c>
      <c r="M15" s="39">
        <f t="shared" si="24"/>
        <v>400</v>
      </c>
      <c r="N15" s="39">
        <f t="shared" si="24"/>
        <v>400</v>
      </c>
      <c r="O15" s="87">
        <f t="shared" si="24"/>
        <v>400</v>
      </c>
      <c r="P15" s="39">
        <f t="shared" si="24"/>
        <v>400</v>
      </c>
      <c r="Q15" s="39">
        <f t="shared" si="24"/>
        <v>400</v>
      </c>
      <c r="R15" s="39">
        <f t="shared" si="24"/>
        <v>400</v>
      </c>
      <c r="S15" s="39">
        <f t="shared" si="24"/>
        <v>400</v>
      </c>
      <c r="T15" s="39">
        <f t="shared" si="24"/>
        <v>400</v>
      </c>
      <c r="U15" s="39">
        <f t="shared" si="24"/>
        <v>400</v>
      </c>
      <c r="V15" s="39">
        <f t="shared" si="24"/>
        <v>400</v>
      </c>
      <c r="W15" s="39">
        <f t="shared" si="24"/>
        <v>400</v>
      </c>
      <c r="X15" s="39">
        <f t="shared" si="24"/>
        <v>400</v>
      </c>
      <c r="Y15" s="39">
        <f t="shared" si="24"/>
        <v>400</v>
      </c>
      <c r="Z15" s="39">
        <f t="shared" si="24"/>
        <v>400</v>
      </c>
      <c r="AA15" s="39">
        <f t="shared" si="24"/>
        <v>400</v>
      </c>
      <c r="AB15" s="2"/>
      <c r="AM15" s="3"/>
      <c r="AN15" s="2"/>
      <c r="AY15" s="3"/>
      <c r="BK15" s="3"/>
    </row>
    <row r="16" spans="2:63" s="1" customFormat="1" x14ac:dyDescent="0.2">
      <c r="B16" s="45"/>
      <c r="C16" s="1" t="s">
        <v>156</v>
      </c>
      <c r="D16" s="279">
        <f>SUM(D13:D15)</f>
        <v>6400</v>
      </c>
      <c r="E16" s="280">
        <f t="shared" ref="E16:AA16" si="25">SUM(E13:E15)</f>
        <v>6400</v>
      </c>
      <c r="F16" s="280">
        <f t="shared" si="25"/>
        <v>6400</v>
      </c>
      <c r="G16" s="280">
        <f t="shared" si="25"/>
        <v>6400</v>
      </c>
      <c r="H16" s="20">
        <f t="shared" si="25"/>
        <v>6400</v>
      </c>
      <c r="I16" s="20">
        <f t="shared" si="25"/>
        <v>6400</v>
      </c>
      <c r="J16" s="20">
        <f t="shared" si="25"/>
        <v>6400</v>
      </c>
      <c r="K16" s="20">
        <f t="shared" si="25"/>
        <v>6400</v>
      </c>
      <c r="L16" s="20">
        <f t="shared" si="25"/>
        <v>6400</v>
      </c>
      <c r="M16" s="20">
        <f t="shared" si="25"/>
        <v>6400</v>
      </c>
      <c r="N16" s="20">
        <f t="shared" si="25"/>
        <v>6400</v>
      </c>
      <c r="O16" s="67">
        <f t="shared" si="25"/>
        <v>6400</v>
      </c>
      <c r="P16" s="20">
        <f t="shared" si="25"/>
        <v>6400</v>
      </c>
      <c r="Q16" s="20">
        <f t="shared" si="25"/>
        <v>6400</v>
      </c>
      <c r="R16" s="20">
        <f t="shared" si="25"/>
        <v>6400</v>
      </c>
      <c r="S16" s="20">
        <f t="shared" si="25"/>
        <v>6400</v>
      </c>
      <c r="T16" s="20">
        <f t="shared" si="25"/>
        <v>6400</v>
      </c>
      <c r="U16" s="20">
        <f t="shared" si="25"/>
        <v>6400</v>
      </c>
      <c r="V16" s="20">
        <f t="shared" si="25"/>
        <v>6400</v>
      </c>
      <c r="W16" s="20">
        <f t="shared" si="25"/>
        <v>6400</v>
      </c>
      <c r="X16" s="20">
        <f t="shared" si="25"/>
        <v>6400</v>
      </c>
      <c r="Y16" s="20">
        <f t="shared" si="25"/>
        <v>6400</v>
      </c>
      <c r="Z16" s="20">
        <f t="shared" si="25"/>
        <v>6400</v>
      </c>
      <c r="AA16" s="20">
        <f t="shared" si="25"/>
        <v>6400</v>
      </c>
      <c r="AB16" s="45"/>
      <c r="AM16" s="47"/>
      <c r="AN16" s="45"/>
      <c r="AY16" s="47"/>
      <c r="BK16" s="47"/>
    </row>
    <row r="17" spans="1:63" s="1" customFormat="1" x14ac:dyDescent="0.2">
      <c r="B17" s="45"/>
      <c r="D17" s="279"/>
      <c r="E17" s="280"/>
      <c r="F17" s="280"/>
      <c r="G17" s="280"/>
      <c r="H17" s="20"/>
      <c r="I17" s="20"/>
      <c r="J17" s="20"/>
      <c r="K17" s="20"/>
      <c r="L17" s="20"/>
      <c r="M17" s="20"/>
      <c r="N17" s="20"/>
      <c r="O17" s="67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45"/>
      <c r="AM17" s="47"/>
      <c r="AN17" s="45"/>
      <c r="AY17" s="47"/>
      <c r="BK17" s="47"/>
    </row>
    <row r="18" spans="1:63" s="1" customFormat="1" x14ac:dyDescent="0.2">
      <c r="B18" s="45"/>
      <c r="C18" s="1" t="s">
        <v>22</v>
      </c>
      <c r="D18" s="279">
        <f>D11-D16</f>
        <v>9012.1375000000007</v>
      </c>
      <c r="E18" s="280">
        <f t="shared" ref="E18:AA18" si="26">E11-E16</f>
        <v>9638.4874999999993</v>
      </c>
      <c r="F18" s="280">
        <f t="shared" si="26"/>
        <v>22156.73</v>
      </c>
      <c r="G18" s="280">
        <f t="shared" si="26"/>
        <v>27628.239999999998</v>
      </c>
      <c r="H18" s="20">
        <f t="shared" si="26"/>
        <v>29219.596541786741</v>
      </c>
      <c r="I18" s="20">
        <f t="shared" si="26"/>
        <v>29219.596541786741</v>
      </c>
      <c r="J18" s="20">
        <f t="shared" si="26"/>
        <v>29219.596541786741</v>
      </c>
      <c r="K18" s="20">
        <f t="shared" si="26"/>
        <v>29219.596541786741</v>
      </c>
      <c r="L18" s="20">
        <f t="shared" si="26"/>
        <v>29219.596541786741</v>
      </c>
      <c r="M18" s="20">
        <f t="shared" si="26"/>
        <v>29219.596541786741</v>
      </c>
      <c r="N18" s="20">
        <f t="shared" si="26"/>
        <v>29219.596541786741</v>
      </c>
      <c r="O18" s="67">
        <f t="shared" si="26"/>
        <v>29219.596541786741</v>
      </c>
      <c r="P18" s="20">
        <f t="shared" si="26"/>
        <v>29219.596541786741</v>
      </c>
      <c r="Q18" s="20">
        <f t="shared" si="26"/>
        <v>29219.596541786741</v>
      </c>
      <c r="R18" s="20">
        <f t="shared" si="26"/>
        <v>29219.596541786741</v>
      </c>
      <c r="S18" s="20">
        <f t="shared" si="26"/>
        <v>29219.596541786741</v>
      </c>
      <c r="T18" s="20">
        <f t="shared" si="26"/>
        <v>29219.596541786741</v>
      </c>
      <c r="U18" s="20">
        <f t="shared" si="26"/>
        <v>29219.596541786741</v>
      </c>
      <c r="V18" s="20">
        <f t="shared" si="26"/>
        <v>29219.596541786741</v>
      </c>
      <c r="W18" s="20">
        <f t="shared" si="26"/>
        <v>29219.596541786741</v>
      </c>
      <c r="X18" s="20">
        <f t="shared" si="26"/>
        <v>29219.596541786741</v>
      </c>
      <c r="Y18" s="20">
        <f t="shared" si="26"/>
        <v>29219.596541786741</v>
      </c>
      <c r="Z18" s="20">
        <f t="shared" si="26"/>
        <v>29219.596541786741</v>
      </c>
      <c r="AA18" s="20">
        <f t="shared" si="26"/>
        <v>29219.596541786741</v>
      </c>
      <c r="AB18" s="45"/>
      <c r="AM18" s="47"/>
      <c r="AN18" s="45"/>
      <c r="AY18" s="47"/>
      <c r="BK18" s="47"/>
    </row>
    <row r="19" spans="1:63" s="1" customFormat="1" x14ac:dyDescent="0.2">
      <c r="B19" s="45"/>
      <c r="D19" s="279"/>
      <c r="E19" s="280"/>
      <c r="F19" s="280"/>
      <c r="G19" s="280"/>
      <c r="H19" s="20"/>
      <c r="I19" s="20"/>
      <c r="J19" s="20"/>
      <c r="K19" s="20"/>
      <c r="L19" s="20"/>
      <c r="M19" s="20"/>
      <c r="N19" s="20"/>
      <c r="O19" s="67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45"/>
      <c r="AM19" s="47"/>
      <c r="AN19" s="45"/>
      <c r="AY19" s="47"/>
      <c r="BK19" s="47"/>
    </row>
    <row r="20" spans="1:63" x14ac:dyDescent="0.2">
      <c r="B20" s="2"/>
      <c r="C20" s="1" t="s">
        <v>158</v>
      </c>
      <c r="D20" s="281"/>
      <c r="E20" s="282"/>
      <c r="F20" s="282"/>
      <c r="G20" s="282"/>
      <c r="H20" s="18"/>
      <c r="I20" s="18"/>
      <c r="J20" s="18"/>
      <c r="K20" s="18"/>
      <c r="L20" s="18"/>
      <c r="M20" s="18"/>
      <c r="N20" s="18"/>
      <c r="O20" s="8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"/>
      <c r="AM20" s="3"/>
      <c r="AN20" s="2"/>
      <c r="AY20" s="3"/>
      <c r="BK20" s="3"/>
    </row>
    <row r="21" spans="1:63" x14ac:dyDescent="0.2">
      <c r="B21" s="52">
        <v>5000</v>
      </c>
      <c r="C21" t="s">
        <v>16</v>
      </c>
      <c r="D21" s="276">
        <v>1666.6666666666667</v>
      </c>
      <c r="E21" s="332">
        <v>1666.6666666666667</v>
      </c>
      <c r="F21" s="332">
        <v>1666.6666666666667</v>
      </c>
      <c r="G21" s="332">
        <v>1666.6666666666667</v>
      </c>
      <c r="H21" s="11">
        <f t="shared" ref="H21:O22" si="27">$B21/12*NumberOfLocations</f>
        <v>1666.6666666666667</v>
      </c>
      <c r="I21" s="11">
        <f t="shared" si="27"/>
        <v>1666.6666666666667</v>
      </c>
      <c r="J21" s="11">
        <f t="shared" si="27"/>
        <v>1666.6666666666667</v>
      </c>
      <c r="K21" s="11">
        <f t="shared" si="27"/>
        <v>1666.6666666666667</v>
      </c>
      <c r="L21" s="11">
        <f t="shared" si="27"/>
        <v>1666.6666666666667</v>
      </c>
      <c r="M21" s="11">
        <f t="shared" si="27"/>
        <v>1666.6666666666667</v>
      </c>
      <c r="N21" s="11">
        <f t="shared" si="27"/>
        <v>1666.6666666666667</v>
      </c>
      <c r="O21" s="85">
        <f t="shared" si="27"/>
        <v>1666.6666666666667</v>
      </c>
      <c r="AB21" s="2"/>
      <c r="AM21" s="3"/>
      <c r="AN21" s="2"/>
      <c r="AY21" s="3"/>
      <c r="BK21" s="3"/>
    </row>
    <row r="22" spans="1:63" x14ac:dyDescent="0.2">
      <c r="B22" s="52">
        <v>3500</v>
      </c>
      <c r="C22" t="s">
        <v>17</v>
      </c>
      <c r="D22" s="276">
        <v>1166.6666666666667</v>
      </c>
      <c r="E22" s="332">
        <v>1166.6666666666667</v>
      </c>
      <c r="F22" s="332">
        <v>1166.6666666666667</v>
      </c>
      <c r="G22" s="332">
        <v>1166.6666666666667</v>
      </c>
      <c r="H22" s="11">
        <f t="shared" si="27"/>
        <v>1166.6666666666667</v>
      </c>
      <c r="I22" s="11">
        <f t="shared" si="27"/>
        <v>1166.6666666666667</v>
      </c>
      <c r="J22" s="11">
        <f t="shared" si="27"/>
        <v>1166.6666666666667</v>
      </c>
      <c r="K22" s="11">
        <f t="shared" si="27"/>
        <v>1166.6666666666667</v>
      </c>
      <c r="L22" s="11">
        <f t="shared" si="27"/>
        <v>1166.6666666666667</v>
      </c>
      <c r="M22" s="11">
        <f t="shared" si="27"/>
        <v>1166.6666666666667</v>
      </c>
      <c r="N22" s="11">
        <f t="shared" si="27"/>
        <v>1166.6666666666667</v>
      </c>
      <c r="O22" s="85">
        <f t="shared" si="27"/>
        <v>1166.6666666666667</v>
      </c>
      <c r="AB22" s="2"/>
      <c r="AM22" s="3"/>
      <c r="AN22" s="2"/>
      <c r="AY22" s="3"/>
      <c r="BK22" s="3"/>
    </row>
    <row r="23" spans="1:63" x14ac:dyDescent="0.2">
      <c r="B23" s="2"/>
      <c r="D23" s="274"/>
      <c r="E23" s="275"/>
      <c r="F23" s="275"/>
      <c r="G23" s="275"/>
      <c r="O23" s="3"/>
      <c r="AB23" s="2"/>
      <c r="AM23" s="3"/>
      <c r="AN23" s="2"/>
      <c r="AY23" s="3"/>
      <c r="BK23" s="3"/>
    </row>
    <row r="24" spans="1:63" s="1" customFormat="1" x14ac:dyDescent="0.2">
      <c r="B24" s="45"/>
      <c r="C24" s="1" t="s">
        <v>159</v>
      </c>
      <c r="D24" s="279">
        <f>D18-SUM(D21:D23)</f>
        <v>6178.8041666666668</v>
      </c>
      <c r="E24" s="280">
        <f t="shared" ref="E24:AA24" si="28">E18-SUM(E21:E23)</f>
        <v>6805.1541666666653</v>
      </c>
      <c r="F24" s="280">
        <f t="shared" si="28"/>
        <v>19323.396666666667</v>
      </c>
      <c r="G24" s="280">
        <f t="shared" si="28"/>
        <v>24794.906666666666</v>
      </c>
      <c r="H24" s="20">
        <f t="shared" si="28"/>
        <v>26386.263208453409</v>
      </c>
      <c r="I24" s="20">
        <f t="shared" si="28"/>
        <v>26386.263208453409</v>
      </c>
      <c r="J24" s="20">
        <f t="shared" si="28"/>
        <v>26386.263208453409</v>
      </c>
      <c r="K24" s="20">
        <f t="shared" si="28"/>
        <v>26386.263208453409</v>
      </c>
      <c r="L24" s="20">
        <f t="shared" si="28"/>
        <v>26386.263208453409</v>
      </c>
      <c r="M24" s="20">
        <f t="shared" si="28"/>
        <v>26386.263208453409</v>
      </c>
      <c r="N24" s="20">
        <f t="shared" si="28"/>
        <v>26386.263208453409</v>
      </c>
      <c r="O24" s="67">
        <f t="shared" si="28"/>
        <v>26386.263208453409</v>
      </c>
      <c r="P24" s="20">
        <f t="shared" si="28"/>
        <v>29219.596541786741</v>
      </c>
      <c r="Q24" s="20">
        <f t="shared" si="28"/>
        <v>29219.596541786741</v>
      </c>
      <c r="R24" s="20">
        <f t="shared" si="28"/>
        <v>29219.596541786741</v>
      </c>
      <c r="S24" s="20">
        <f t="shared" si="28"/>
        <v>29219.596541786741</v>
      </c>
      <c r="T24" s="20">
        <f t="shared" si="28"/>
        <v>29219.596541786741</v>
      </c>
      <c r="U24" s="20">
        <f t="shared" si="28"/>
        <v>29219.596541786741</v>
      </c>
      <c r="V24" s="20">
        <f t="shared" si="28"/>
        <v>29219.596541786741</v>
      </c>
      <c r="W24" s="20">
        <f t="shared" si="28"/>
        <v>29219.596541786741</v>
      </c>
      <c r="X24" s="20">
        <f t="shared" si="28"/>
        <v>29219.596541786741</v>
      </c>
      <c r="Y24" s="20">
        <f t="shared" si="28"/>
        <v>29219.596541786741</v>
      </c>
      <c r="Z24" s="20">
        <f t="shared" si="28"/>
        <v>29219.596541786741</v>
      </c>
      <c r="AA24" s="20">
        <f t="shared" si="28"/>
        <v>29219.596541786741</v>
      </c>
      <c r="AB24" s="45"/>
      <c r="AM24" s="47"/>
      <c r="AN24" s="45"/>
      <c r="AY24" s="47"/>
      <c r="BK24" s="47"/>
    </row>
    <row r="25" spans="1:63" ht="17" thickBot="1" x14ac:dyDescent="0.25">
      <c r="B25" s="2"/>
      <c r="D25" s="295"/>
      <c r="E25" s="296"/>
      <c r="F25" s="296"/>
      <c r="G25" s="296"/>
      <c r="H25" s="285"/>
      <c r="I25" s="285"/>
      <c r="J25" s="285"/>
      <c r="K25" s="285"/>
      <c r="L25" s="285"/>
      <c r="M25" s="285"/>
      <c r="N25" s="285"/>
      <c r="O25" s="91"/>
      <c r="AB25" s="2"/>
      <c r="AM25" s="3"/>
      <c r="AN25" s="2"/>
      <c r="AY25" s="3"/>
      <c r="BK25" s="3"/>
    </row>
    <row r="26" spans="1:63" s="55" customFormat="1" ht="17" thickBot="1" x14ac:dyDescent="0.25">
      <c r="A26" s="1"/>
      <c r="B26" s="7"/>
      <c r="C26" s="55" t="s">
        <v>160</v>
      </c>
      <c r="D26" s="328">
        <f>D11-D16-D21-D22</f>
        <v>6178.8041666666668</v>
      </c>
      <c r="E26" s="329">
        <f t="shared" ref="E26:AA26" si="29">E11-E16-E21-E22</f>
        <v>6805.1541666666653</v>
      </c>
      <c r="F26" s="329">
        <f t="shared" si="29"/>
        <v>19323.396666666664</v>
      </c>
      <c r="G26" s="329">
        <f t="shared" si="29"/>
        <v>24794.906666666662</v>
      </c>
      <c r="H26" s="330">
        <f t="shared" si="29"/>
        <v>26386.263208453405</v>
      </c>
      <c r="I26" s="330">
        <f t="shared" si="29"/>
        <v>26386.263208453405</v>
      </c>
      <c r="J26" s="330">
        <f t="shared" si="29"/>
        <v>26386.263208453405</v>
      </c>
      <c r="K26" s="330">
        <f t="shared" si="29"/>
        <v>26386.263208453405</v>
      </c>
      <c r="L26" s="330">
        <f t="shared" si="29"/>
        <v>26386.263208453405</v>
      </c>
      <c r="M26" s="330">
        <f t="shared" si="29"/>
        <v>26386.263208453405</v>
      </c>
      <c r="N26" s="330">
        <f t="shared" si="29"/>
        <v>26386.263208453405</v>
      </c>
      <c r="O26" s="331">
        <f t="shared" si="29"/>
        <v>26386.263208453405</v>
      </c>
      <c r="P26" s="82">
        <f t="shared" si="29"/>
        <v>29219.596541786741</v>
      </c>
      <c r="Q26" s="56">
        <f t="shared" si="29"/>
        <v>29219.596541786741</v>
      </c>
      <c r="R26" s="56">
        <f t="shared" si="29"/>
        <v>29219.596541786741</v>
      </c>
      <c r="S26" s="56">
        <f t="shared" si="29"/>
        <v>29219.596541786741</v>
      </c>
      <c r="T26" s="56">
        <f t="shared" si="29"/>
        <v>29219.596541786741</v>
      </c>
      <c r="U26" s="56">
        <f t="shared" si="29"/>
        <v>29219.596541786741</v>
      </c>
      <c r="V26" s="56">
        <f t="shared" si="29"/>
        <v>29219.596541786741</v>
      </c>
      <c r="W26" s="56">
        <f t="shared" si="29"/>
        <v>29219.596541786741</v>
      </c>
      <c r="X26" s="56">
        <f t="shared" si="29"/>
        <v>29219.596541786741</v>
      </c>
      <c r="Y26" s="56">
        <f t="shared" si="29"/>
        <v>29219.596541786741</v>
      </c>
      <c r="Z26" s="56">
        <f t="shared" si="29"/>
        <v>29219.596541786741</v>
      </c>
      <c r="AA26" s="56">
        <f t="shared" si="29"/>
        <v>29219.596541786741</v>
      </c>
      <c r="AB26" s="7"/>
      <c r="AM26" s="57"/>
      <c r="AN26" s="7"/>
      <c r="AY26" s="57"/>
      <c r="BK26" s="57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C236-82DB-B749-9EA8-ED0E02590FE6}">
  <dimension ref="C2:BL43"/>
  <sheetViews>
    <sheetView zoomScale="180" zoomScaleNormal="180" workbookViewId="0">
      <pane xSplit="4" ySplit="4" topLeftCell="E5" activePane="bottomRight" state="frozen"/>
      <selection activeCell="H9" sqref="H9"/>
      <selection pane="topRight" activeCell="H9" sqref="H9"/>
      <selection pane="bottomLeft" activeCell="H9" sqref="H9"/>
      <selection pane="bottomRight" activeCell="H9" sqref="H9"/>
    </sheetView>
    <sheetView workbookViewId="1"/>
  </sheetViews>
  <sheetFormatPr baseColWidth="10" defaultRowHeight="16" x14ac:dyDescent="0.2"/>
  <cols>
    <col min="1" max="2" width="4.1640625" customWidth="1"/>
    <col min="3" max="3" width="3.33203125" customWidth="1"/>
    <col min="4" max="4" width="39.6640625" bestFit="1" customWidth="1"/>
    <col min="5" max="5" width="11.5" bestFit="1" customWidth="1"/>
    <col min="53" max="64" width="12.33203125" customWidth="1"/>
  </cols>
  <sheetData>
    <row r="2" spans="3:64" ht="20" customHeight="1" x14ac:dyDescent="0.25">
      <c r="D2" s="35" t="s">
        <v>169</v>
      </c>
    </row>
    <row r="3" spans="3:64" ht="17" thickBot="1" x14ac:dyDescent="0.25"/>
    <row r="4" spans="3:64" ht="17" thickBot="1" x14ac:dyDescent="0.25">
      <c r="C4" s="64"/>
      <c r="D4" s="65"/>
      <c r="E4" s="264">
        <f>'Kiosk P&amp;L'!D4</f>
        <v>45292</v>
      </c>
      <c r="F4" s="265">
        <f>'Kiosk P&amp;L'!E4</f>
        <v>45323</v>
      </c>
      <c r="G4" s="265">
        <f>'Kiosk P&amp;L'!F4</f>
        <v>45352</v>
      </c>
      <c r="H4" s="265">
        <f>'Kiosk P&amp;L'!G4</f>
        <v>45383</v>
      </c>
      <c r="I4" s="60">
        <f>'Kiosk P&amp;L'!H4</f>
        <v>45413</v>
      </c>
      <c r="J4" s="60">
        <f>'Kiosk P&amp;L'!I4</f>
        <v>45444</v>
      </c>
      <c r="K4" s="60">
        <f>'Kiosk P&amp;L'!J4</f>
        <v>45474</v>
      </c>
      <c r="L4" s="60">
        <f>'Kiosk P&amp;L'!K4</f>
        <v>45505</v>
      </c>
      <c r="M4" s="60">
        <f>'Kiosk P&amp;L'!L4</f>
        <v>45536</v>
      </c>
      <c r="N4" s="60">
        <f>'Kiosk P&amp;L'!M4</f>
        <v>45566</v>
      </c>
      <c r="O4" s="60">
        <f>'Kiosk P&amp;L'!N4</f>
        <v>45597</v>
      </c>
      <c r="P4" s="61">
        <f>'Kiosk P&amp;L'!O4</f>
        <v>45627</v>
      </c>
      <c r="Q4" s="78">
        <f>'Kiosk P&amp;L'!P4</f>
        <v>45658</v>
      </c>
      <c r="R4" s="60">
        <f>'Kiosk P&amp;L'!Q4</f>
        <v>45689</v>
      </c>
      <c r="S4" s="60">
        <f>'Kiosk P&amp;L'!R4</f>
        <v>45717</v>
      </c>
      <c r="T4" s="60">
        <f>'Kiosk P&amp;L'!S4</f>
        <v>45748</v>
      </c>
      <c r="U4" s="60">
        <f>'Kiosk P&amp;L'!T4</f>
        <v>45778</v>
      </c>
      <c r="V4" s="60">
        <f>'Kiosk P&amp;L'!U4</f>
        <v>45809</v>
      </c>
      <c r="W4" s="60">
        <f>'Kiosk P&amp;L'!V4</f>
        <v>45839</v>
      </c>
      <c r="X4" s="60">
        <f>'Kiosk P&amp;L'!W4</f>
        <v>45870</v>
      </c>
      <c r="Y4" s="60">
        <f>'Kiosk P&amp;L'!X4</f>
        <v>45901</v>
      </c>
      <c r="Z4" s="60">
        <f>'Kiosk P&amp;L'!Y4</f>
        <v>45931</v>
      </c>
      <c r="AA4" s="60">
        <f>'Kiosk P&amp;L'!Z4</f>
        <v>45962</v>
      </c>
      <c r="AB4" s="61">
        <f>'Kiosk P&amp;L'!AA4</f>
        <v>45992</v>
      </c>
      <c r="AC4" s="78">
        <f>'Kiosk P&amp;L'!AB4</f>
        <v>46023</v>
      </c>
      <c r="AD4" s="60">
        <f>'Kiosk P&amp;L'!AC4</f>
        <v>46054</v>
      </c>
      <c r="AE4" s="60">
        <f>'Kiosk P&amp;L'!AD4</f>
        <v>46082</v>
      </c>
      <c r="AF4" s="60">
        <f>'Kiosk P&amp;L'!AE4</f>
        <v>46113</v>
      </c>
      <c r="AG4" s="60">
        <f>'Kiosk P&amp;L'!AF4</f>
        <v>46143</v>
      </c>
      <c r="AH4" s="60">
        <f>'Kiosk P&amp;L'!AG4</f>
        <v>46174</v>
      </c>
      <c r="AI4" s="60">
        <f>'Kiosk P&amp;L'!AH4</f>
        <v>46204</v>
      </c>
      <c r="AJ4" s="60">
        <f>'Kiosk P&amp;L'!AI4</f>
        <v>46235</v>
      </c>
      <c r="AK4" s="60">
        <f>'Kiosk P&amp;L'!AJ4</f>
        <v>46266</v>
      </c>
      <c r="AL4" s="60">
        <f>'Kiosk P&amp;L'!AK4</f>
        <v>46296</v>
      </c>
      <c r="AM4" s="60">
        <f>'Kiosk P&amp;L'!AL4</f>
        <v>46327</v>
      </c>
      <c r="AN4" s="61">
        <f>'Kiosk P&amp;L'!AM4</f>
        <v>46357</v>
      </c>
      <c r="AO4" s="78">
        <f>'Kiosk P&amp;L'!AN4</f>
        <v>46388</v>
      </c>
      <c r="AP4" s="60">
        <f>'Kiosk P&amp;L'!AO4</f>
        <v>46419</v>
      </c>
      <c r="AQ4" s="60">
        <f>'Kiosk P&amp;L'!AP4</f>
        <v>46447</v>
      </c>
      <c r="AR4" s="60">
        <f>'Kiosk P&amp;L'!AQ4</f>
        <v>46478</v>
      </c>
      <c r="AS4" s="60">
        <f>'Kiosk P&amp;L'!AR4</f>
        <v>46508</v>
      </c>
      <c r="AT4" s="60">
        <f>'Kiosk P&amp;L'!AS4</f>
        <v>46539</v>
      </c>
      <c r="AU4" s="60">
        <f>'Kiosk P&amp;L'!AT4</f>
        <v>46569</v>
      </c>
      <c r="AV4" s="60">
        <f>'Kiosk P&amp;L'!AU4</f>
        <v>46600</v>
      </c>
      <c r="AW4" s="60">
        <f>'Kiosk P&amp;L'!AV4</f>
        <v>46631</v>
      </c>
      <c r="AX4" s="60">
        <f>'Kiosk P&amp;L'!AW4</f>
        <v>46661</v>
      </c>
      <c r="AY4" s="60">
        <f>'Kiosk P&amp;L'!AX4</f>
        <v>46692</v>
      </c>
      <c r="AZ4" s="61">
        <f>'Kiosk P&amp;L'!AY4</f>
        <v>46722</v>
      </c>
      <c r="BA4" s="60">
        <f>'Kiosk P&amp;L'!AZ4</f>
        <v>46753</v>
      </c>
      <c r="BB4" s="60">
        <f>'Kiosk P&amp;L'!BA4</f>
        <v>46784</v>
      </c>
      <c r="BC4" s="60">
        <f>'Kiosk P&amp;L'!BB4</f>
        <v>46813</v>
      </c>
      <c r="BD4" s="60">
        <f>'Kiosk P&amp;L'!BC4</f>
        <v>46844</v>
      </c>
      <c r="BE4" s="60">
        <f>'Kiosk P&amp;L'!BD4</f>
        <v>46874</v>
      </c>
      <c r="BF4" s="60">
        <f>'Kiosk P&amp;L'!BE4</f>
        <v>46905</v>
      </c>
      <c r="BG4" s="60">
        <f>'Kiosk P&amp;L'!BF4</f>
        <v>46935</v>
      </c>
      <c r="BH4" s="60">
        <f>'Kiosk P&amp;L'!BG4</f>
        <v>46966</v>
      </c>
      <c r="BI4" s="60">
        <f>'Kiosk P&amp;L'!BH4</f>
        <v>46997</v>
      </c>
      <c r="BJ4" s="60">
        <f>'Kiosk P&amp;L'!BI4</f>
        <v>47027</v>
      </c>
      <c r="BK4" s="60">
        <f>'Kiosk P&amp;L'!BJ4</f>
        <v>47058</v>
      </c>
      <c r="BL4" s="61">
        <f>'Kiosk P&amp;L'!BK4</f>
        <v>47088</v>
      </c>
    </row>
    <row r="5" spans="3:64" x14ac:dyDescent="0.2">
      <c r="C5" s="140" t="s">
        <v>13</v>
      </c>
      <c r="D5" s="141"/>
      <c r="E5" s="275"/>
      <c r="F5" s="275"/>
      <c r="G5" s="275"/>
      <c r="H5" s="275"/>
      <c r="P5" s="3"/>
      <c r="Q5" s="2"/>
      <c r="AB5" s="3"/>
      <c r="AC5" s="2"/>
      <c r="AN5" s="3"/>
      <c r="AO5" s="2"/>
      <c r="AZ5" s="3"/>
      <c r="BL5" s="3"/>
    </row>
    <row r="6" spans="3:64" x14ac:dyDescent="0.2">
      <c r="C6" s="2"/>
      <c r="D6" s="3" t="s">
        <v>26</v>
      </c>
      <c r="E6" s="269">
        <v>0</v>
      </c>
      <c r="F6" s="269">
        <v>0</v>
      </c>
      <c r="G6" s="269">
        <v>0</v>
      </c>
      <c r="H6" s="269">
        <v>4620</v>
      </c>
      <c r="I6" s="48">
        <f>'Subscription Details'!G13</f>
        <v>12495</v>
      </c>
      <c r="J6" s="48">
        <f>'Subscription Details'!H13</f>
        <v>20160</v>
      </c>
      <c r="K6" s="48">
        <f>'Subscription Details'!I13</f>
        <v>27685</v>
      </c>
      <c r="L6" s="48">
        <f>'Subscription Details'!J13</f>
        <v>35000</v>
      </c>
      <c r="M6" s="48">
        <f>'Subscription Details'!K13</f>
        <v>42140</v>
      </c>
      <c r="N6" s="48">
        <f>'Subscription Details'!L13</f>
        <v>49105</v>
      </c>
      <c r="O6" s="48">
        <f>'Subscription Details'!M13</f>
        <v>55895</v>
      </c>
      <c r="P6" s="66">
        <f>'Subscription Details'!N13</f>
        <v>62510</v>
      </c>
      <c r="Q6" s="79">
        <f>'Subscription Details'!O13</f>
        <v>68950</v>
      </c>
      <c r="R6" s="48">
        <f>'Subscription Details'!P13</f>
        <v>75285</v>
      </c>
      <c r="S6" s="48">
        <f>'Subscription Details'!Q13</f>
        <v>81445</v>
      </c>
      <c r="T6" s="48">
        <f>'Subscription Details'!R13</f>
        <v>87465</v>
      </c>
      <c r="U6" s="48">
        <f>'Subscription Details'!S13</f>
        <v>93345</v>
      </c>
      <c r="V6" s="48">
        <f>'Subscription Details'!T13</f>
        <v>99085</v>
      </c>
      <c r="W6" s="48">
        <f>'Subscription Details'!U13</f>
        <v>104685</v>
      </c>
      <c r="X6" s="48">
        <f>'Subscription Details'!V13</f>
        <v>110145</v>
      </c>
      <c r="Y6" s="48">
        <f>'Subscription Details'!W13</f>
        <v>115500</v>
      </c>
      <c r="Z6" s="48">
        <f>'Subscription Details'!X13</f>
        <v>120715</v>
      </c>
      <c r="AA6" s="48">
        <f>'Subscription Details'!Y13</f>
        <v>125825</v>
      </c>
      <c r="AB6" s="66">
        <f>'Subscription Details'!Z13</f>
        <v>130830</v>
      </c>
      <c r="AC6" s="79">
        <f>'Subscription Details'!AA13</f>
        <v>135730</v>
      </c>
      <c r="AD6" s="48">
        <f>'Subscription Details'!AB13</f>
        <v>140525</v>
      </c>
      <c r="AE6" s="48">
        <f>'Subscription Details'!AC13</f>
        <v>145215</v>
      </c>
      <c r="AF6" s="48">
        <f>'Subscription Details'!AD13</f>
        <v>149800</v>
      </c>
      <c r="AG6" s="48">
        <f>'Subscription Details'!AE13</f>
        <v>154280</v>
      </c>
      <c r="AH6" s="48">
        <f>'Subscription Details'!AF13</f>
        <v>158690</v>
      </c>
      <c r="AI6" s="48">
        <f>'Subscription Details'!AG13</f>
        <v>163030</v>
      </c>
      <c r="AJ6" s="48">
        <f>'Subscription Details'!AH13</f>
        <v>167300</v>
      </c>
      <c r="AK6" s="48">
        <f>'Subscription Details'!AI13</f>
        <v>171430</v>
      </c>
      <c r="AL6" s="48">
        <f>'Subscription Details'!AJ13</f>
        <v>175525</v>
      </c>
      <c r="AM6" s="48">
        <f>'Subscription Details'!AK13</f>
        <v>179550</v>
      </c>
      <c r="AN6" s="66">
        <f>'Subscription Details'!AL13</f>
        <v>183505</v>
      </c>
      <c r="AO6" s="79">
        <f>'Subscription Details'!AM13</f>
        <v>187425</v>
      </c>
      <c r="AP6" s="48">
        <f>'Subscription Details'!AN13</f>
        <v>191275</v>
      </c>
      <c r="AQ6" s="48">
        <f>'Subscription Details'!AO13</f>
        <v>195055</v>
      </c>
      <c r="AR6" s="48">
        <f>'Subscription Details'!AP13</f>
        <v>198835</v>
      </c>
      <c r="AS6" s="48">
        <f>'Subscription Details'!AQ13</f>
        <v>202545</v>
      </c>
      <c r="AT6" s="48">
        <f>'Subscription Details'!AR13</f>
        <v>206220</v>
      </c>
      <c r="AU6" s="48">
        <f>'Subscription Details'!AS13</f>
        <v>209895</v>
      </c>
      <c r="AV6" s="48">
        <f>'Subscription Details'!AT13</f>
        <v>213535</v>
      </c>
      <c r="AW6" s="48">
        <f>'Subscription Details'!AU13</f>
        <v>217140</v>
      </c>
      <c r="AX6" s="48">
        <f>'Subscription Details'!AV13</f>
        <v>220745</v>
      </c>
      <c r="AY6" s="48">
        <f>'Subscription Details'!AW13</f>
        <v>224350</v>
      </c>
      <c r="AZ6" s="66">
        <f>'Subscription Details'!AX13</f>
        <v>227955</v>
      </c>
      <c r="BA6" s="48">
        <f>'Subscription Details'!AY13</f>
        <v>231560</v>
      </c>
      <c r="BB6" s="48">
        <f>'Subscription Details'!AZ13</f>
        <v>235235</v>
      </c>
      <c r="BC6" s="48">
        <f>'Subscription Details'!BA13</f>
        <v>238910</v>
      </c>
      <c r="BD6" s="48">
        <f>'Subscription Details'!BB13</f>
        <v>242620</v>
      </c>
      <c r="BE6" s="48">
        <f>'Subscription Details'!BC13</f>
        <v>246400</v>
      </c>
      <c r="BF6" s="48">
        <f>'Subscription Details'!BD13</f>
        <v>250215</v>
      </c>
      <c r="BG6" s="48">
        <f>'Subscription Details'!BE13</f>
        <v>254065</v>
      </c>
      <c r="BH6" s="48">
        <f>'Subscription Details'!BF13</f>
        <v>258020</v>
      </c>
      <c r="BI6" s="48">
        <f>'Subscription Details'!BG13</f>
        <v>262080</v>
      </c>
      <c r="BJ6" s="48">
        <f>'Subscription Details'!BH13</f>
        <v>266245</v>
      </c>
      <c r="BK6" s="48">
        <f>'Subscription Details'!BI13</f>
        <v>270515</v>
      </c>
      <c r="BL6" s="66">
        <f>'Subscription Details'!BJ13</f>
        <v>274925</v>
      </c>
    </row>
    <row r="7" spans="3:64" x14ac:dyDescent="0.2">
      <c r="C7" s="2"/>
      <c r="D7" s="3" t="s">
        <v>27</v>
      </c>
      <c r="E7" s="269">
        <v>0</v>
      </c>
      <c r="F7" s="269">
        <v>0</v>
      </c>
      <c r="G7" s="269">
        <v>0</v>
      </c>
      <c r="H7" s="269">
        <v>4259.08</v>
      </c>
      <c r="I7" s="48">
        <f>'Marketing Detail'!G63</f>
        <v>7431.0334999999995</v>
      </c>
      <c r="J7" s="48">
        <f>'Marketing Detail'!H63</f>
        <v>7435.9161800000002</v>
      </c>
      <c r="K7" s="48">
        <f>'Marketing Detail'!I63</f>
        <v>7441.1894744000001</v>
      </c>
      <c r="L7" s="48">
        <f>'Marketing Detail'!J63</f>
        <v>7446.8846323520002</v>
      </c>
      <c r="M7" s="48">
        <f>'Marketing Detail'!K63</f>
        <v>7453.0354029401597</v>
      </c>
      <c r="N7" s="48">
        <f>'Marketing Detail'!L63</f>
        <v>7459.6782351753727</v>
      </c>
      <c r="O7" s="48">
        <f>'Marketing Detail'!M63</f>
        <v>7466.8524939894023</v>
      </c>
      <c r="P7" s="66">
        <f>'Marketing Detail'!N63</f>
        <v>7474.6006935085552</v>
      </c>
      <c r="Q7" s="79">
        <f>'Marketing Detail'!O63</f>
        <v>7482.9687489892394</v>
      </c>
      <c r="R7" s="48">
        <f>'Marketing Detail'!P63</f>
        <v>7492.0062489083784</v>
      </c>
      <c r="S7" s="48">
        <f>'Marketing Detail'!Q63</f>
        <v>7501.7667488210491</v>
      </c>
      <c r="T7" s="48">
        <f>'Marketing Detail'!R63</f>
        <v>7512.3080887267324</v>
      </c>
      <c r="U7" s="48">
        <f>'Marketing Detail'!S63</f>
        <v>7523.6927358248713</v>
      </c>
      <c r="V7" s="48">
        <f>'Marketing Detail'!T63</f>
        <v>7535.9881546908609</v>
      </c>
      <c r="W7" s="48">
        <f>'Marketing Detail'!U63</f>
        <v>7549.2672070661301</v>
      </c>
      <c r="X7" s="48">
        <f>'Marketing Detail'!V63</f>
        <v>7563.6085836314205</v>
      </c>
      <c r="Y7" s="48">
        <f>'Marketing Detail'!W63</f>
        <v>7579.097270321934</v>
      </c>
      <c r="Z7" s="48">
        <f>'Marketing Detail'!X63</f>
        <v>7595.8250519476887</v>
      </c>
      <c r="AA7" s="48">
        <f>'Marketing Detail'!Y63</f>
        <v>7613.8910561035036</v>
      </c>
      <c r="AB7" s="66">
        <f>'Marketing Detail'!Z63</f>
        <v>7633.4023405917842</v>
      </c>
      <c r="AC7" s="79">
        <f>'Marketing Detail'!AA63</f>
        <v>7654.4745278391265</v>
      </c>
      <c r="AD7" s="48">
        <f>'Marketing Detail'!AB63</f>
        <v>7677.232490066257</v>
      </c>
      <c r="AE7" s="48">
        <f>'Marketing Detail'!AC63</f>
        <v>7701.8110892715576</v>
      </c>
      <c r="AF7" s="48">
        <f>'Marketing Detail'!AD63</f>
        <v>7728.3559764132824</v>
      </c>
      <c r="AG7" s="48">
        <f>'Marketing Detail'!AE63</f>
        <v>7757.0244545263449</v>
      </c>
      <c r="AH7" s="48">
        <f>'Marketing Detail'!AF63</f>
        <v>7787.9864108884522</v>
      </c>
      <c r="AI7" s="48">
        <f>'Marketing Detail'!AG63</f>
        <v>7821.4253237595285</v>
      </c>
      <c r="AJ7" s="48">
        <f>'Marketing Detail'!AH63</f>
        <v>7857.539349660291</v>
      </c>
      <c r="AK7" s="48">
        <f>'Marketing Detail'!AI63</f>
        <v>7896.5424976331142</v>
      </c>
      <c r="AL7" s="48">
        <f>'Marketing Detail'!AJ63</f>
        <v>7938.6658974437632</v>
      </c>
      <c r="AM7" s="48">
        <f>'Marketing Detail'!AK63</f>
        <v>7984.1591692392649</v>
      </c>
      <c r="AN7" s="66">
        <f>'Marketing Detail'!AL63</f>
        <v>8033.2919027784055</v>
      </c>
      <c r="AO7" s="79">
        <f>'Marketing Detail'!AM63</f>
        <v>8086.355255000678</v>
      </c>
      <c r="AP7" s="48">
        <f>'Marketing Detail'!AN63</f>
        <v>8143.6636754007322</v>
      </c>
      <c r="AQ7" s="48">
        <f>'Marketing Detail'!AO63</f>
        <v>8205.556769432791</v>
      </c>
      <c r="AR7" s="48">
        <f>'Marketing Detail'!AP63</f>
        <v>8272.401310987414</v>
      </c>
      <c r="AS7" s="48">
        <f>'Marketing Detail'!AQ63</f>
        <v>8344.5934158664077</v>
      </c>
      <c r="AT7" s="48">
        <f>'Marketing Detail'!AR63</f>
        <v>8422.5608891357206</v>
      </c>
      <c r="AU7" s="48">
        <f>'Marketing Detail'!AS63</f>
        <v>8506.7657602665786</v>
      </c>
      <c r="AV7" s="48">
        <f>'Marketing Detail'!AT63</f>
        <v>8597.7070210879046</v>
      </c>
      <c r="AW7" s="48">
        <f>'Marketing Detail'!AU63</f>
        <v>8695.9235827749362</v>
      </c>
      <c r="AX7" s="48">
        <f>'Marketing Detail'!AV63</f>
        <v>8801.9974693969325</v>
      </c>
      <c r="AY7" s="48">
        <f>'Marketing Detail'!AW63</f>
        <v>8916.5572669486864</v>
      </c>
      <c r="AZ7" s="66">
        <f>'Marketing Detail'!AX63</f>
        <v>9040.2818483045812</v>
      </c>
      <c r="BA7" s="48">
        <f>'Marketing Detail'!AY63</f>
        <v>9173.9043961689476</v>
      </c>
      <c r="BB7" s="48">
        <f>'Marketing Detail'!AZ63</f>
        <v>9318.2167478624633</v>
      </c>
      <c r="BC7" s="48">
        <f>'Marketing Detail'!BA63</f>
        <v>9474.0740876914606</v>
      </c>
      <c r="BD7" s="48">
        <f>'Marketing Detail'!BB63</f>
        <v>9642.4000147067782</v>
      </c>
      <c r="BE7" s="48">
        <f>'Marketing Detail'!BC63</f>
        <v>9824.19201588332</v>
      </c>
      <c r="BF7" s="48">
        <f>'Marketing Detail'!BD63</f>
        <v>10020.527377153987</v>
      </c>
      <c r="BG7" s="48">
        <f>'Marketing Detail'!BE63</f>
        <v>10232.569567326305</v>
      </c>
      <c r="BH7" s="48">
        <f>'Marketing Detail'!BF63</f>
        <v>10461.575132712409</v>
      </c>
      <c r="BI7" s="48">
        <f>'Marketing Detail'!BG63</f>
        <v>10708.901143329404</v>
      </c>
      <c r="BJ7" s="48">
        <f>'Marketing Detail'!BH63</f>
        <v>10976.013234795755</v>
      </c>
      <c r="BK7" s="48">
        <f>'Marketing Detail'!BI63</f>
        <v>11264.494293579417</v>
      </c>
      <c r="BL7" s="66">
        <f>'Marketing Detail'!BJ63</f>
        <v>11576.05383706577</v>
      </c>
    </row>
    <row r="8" spans="3:64" ht="17" thickBot="1" x14ac:dyDescent="0.25">
      <c r="C8" s="2"/>
      <c r="D8" s="3" t="s">
        <v>28</v>
      </c>
      <c r="E8" s="275"/>
      <c r="F8" s="275"/>
      <c r="G8" s="275"/>
      <c r="H8" s="275"/>
      <c r="P8" s="3"/>
      <c r="Q8" s="2"/>
      <c r="AB8" s="3"/>
      <c r="AC8" s="2"/>
      <c r="AN8" s="3"/>
      <c r="AO8" s="2"/>
      <c r="AZ8" s="3"/>
      <c r="BL8" s="3"/>
    </row>
    <row r="9" spans="3:64" s="1" customFormat="1" ht="17" thickBot="1" x14ac:dyDescent="0.25">
      <c r="C9" s="7"/>
      <c r="D9" s="242" t="s">
        <v>29</v>
      </c>
      <c r="E9" s="284">
        <f>SUM(E6:E8)</f>
        <v>0</v>
      </c>
      <c r="F9" s="284">
        <f t="shared" ref="F9:BL9" si="0">SUM(F6:F8)</f>
        <v>0</v>
      </c>
      <c r="G9" s="284">
        <f t="shared" si="0"/>
        <v>0</v>
      </c>
      <c r="H9" s="284">
        <f t="shared" si="0"/>
        <v>8879.08</v>
      </c>
      <c r="I9" s="56">
        <f t="shared" si="0"/>
        <v>19926.033499999998</v>
      </c>
      <c r="J9" s="56">
        <f t="shared" si="0"/>
        <v>27595.91618</v>
      </c>
      <c r="K9" s="56">
        <f t="shared" si="0"/>
        <v>35126.189474400002</v>
      </c>
      <c r="L9" s="56">
        <f t="shared" si="0"/>
        <v>42446.884632351997</v>
      </c>
      <c r="M9" s="56">
        <f t="shared" si="0"/>
        <v>49593.035402940157</v>
      </c>
      <c r="N9" s="56">
        <f t="shared" si="0"/>
        <v>56564.678235175372</v>
      </c>
      <c r="O9" s="56">
        <f t="shared" si="0"/>
        <v>63361.852493989405</v>
      </c>
      <c r="P9" s="77">
        <f t="shared" si="0"/>
        <v>69984.600693508561</v>
      </c>
      <c r="Q9" s="82">
        <f t="shared" si="0"/>
        <v>76432.968748989239</v>
      </c>
      <c r="R9" s="56">
        <f t="shared" si="0"/>
        <v>82777.006248908379</v>
      </c>
      <c r="S9" s="56">
        <f t="shared" si="0"/>
        <v>88946.766748821043</v>
      </c>
      <c r="T9" s="56">
        <f t="shared" si="0"/>
        <v>94977.308088726728</v>
      </c>
      <c r="U9" s="56">
        <f t="shared" si="0"/>
        <v>100868.69273582486</v>
      </c>
      <c r="V9" s="56">
        <f t="shared" si="0"/>
        <v>106620.98815469086</v>
      </c>
      <c r="W9" s="56">
        <f t="shared" si="0"/>
        <v>112234.26720706614</v>
      </c>
      <c r="X9" s="56">
        <f t="shared" si="0"/>
        <v>117708.60858363142</v>
      </c>
      <c r="Y9" s="56">
        <f t="shared" si="0"/>
        <v>123079.09727032193</v>
      </c>
      <c r="Z9" s="56">
        <f t="shared" si="0"/>
        <v>128310.82505194769</v>
      </c>
      <c r="AA9" s="56">
        <f t="shared" si="0"/>
        <v>133438.89105610352</v>
      </c>
      <c r="AB9" s="77">
        <f t="shared" si="0"/>
        <v>138463.4023405918</v>
      </c>
      <c r="AC9" s="82">
        <f t="shared" si="0"/>
        <v>143384.47452783913</v>
      </c>
      <c r="AD9" s="56">
        <f t="shared" si="0"/>
        <v>148202.23249006626</v>
      </c>
      <c r="AE9" s="56">
        <f t="shared" si="0"/>
        <v>152916.81108927156</v>
      </c>
      <c r="AF9" s="56">
        <f t="shared" si="0"/>
        <v>157528.3559764133</v>
      </c>
      <c r="AG9" s="56">
        <f t="shared" si="0"/>
        <v>162037.02445452634</v>
      </c>
      <c r="AH9" s="56">
        <f t="shared" si="0"/>
        <v>166477.98641088846</v>
      </c>
      <c r="AI9" s="56">
        <f t="shared" si="0"/>
        <v>170851.42532375953</v>
      </c>
      <c r="AJ9" s="56">
        <f t="shared" si="0"/>
        <v>175157.53934966028</v>
      </c>
      <c r="AK9" s="56">
        <f t="shared" si="0"/>
        <v>179326.54249763311</v>
      </c>
      <c r="AL9" s="56">
        <f t="shared" si="0"/>
        <v>183463.66589744377</v>
      </c>
      <c r="AM9" s="56">
        <f t="shared" si="0"/>
        <v>187534.15916923925</v>
      </c>
      <c r="AN9" s="77">
        <f t="shared" si="0"/>
        <v>191538.29190277841</v>
      </c>
      <c r="AO9" s="82">
        <f t="shared" si="0"/>
        <v>195511.35525500067</v>
      </c>
      <c r="AP9" s="56">
        <f t="shared" si="0"/>
        <v>199418.66367540072</v>
      </c>
      <c r="AQ9" s="56">
        <f t="shared" si="0"/>
        <v>203260.55676943279</v>
      </c>
      <c r="AR9" s="56">
        <f t="shared" si="0"/>
        <v>207107.40131098742</v>
      </c>
      <c r="AS9" s="56">
        <f t="shared" si="0"/>
        <v>210889.5934158664</v>
      </c>
      <c r="AT9" s="56">
        <f t="shared" si="0"/>
        <v>214642.56088913573</v>
      </c>
      <c r="AU9" s="56">
        <f t="shared" si="0"/>
        <v>218401.76576026657</v>
      </c>
      <c r="AV9" s="56">
        <f t="shared" si="0"/>
        <v>222132.7070210879</v>
      </c>
      <c r="AW9" s="56">
        <f t="shared" si="0"/>
        <v>225835.92358277494</v>
      </c>
      <c r="AX9" s="56">
        <f t="shared" si="0"/>
        <v>229546.99746939694</v>
      </c>
      <c r="AY9" s="56">
        <f t="shared" si="0"/>
        <v>233266.55726694869</v>
      </c>
      <c r="AZ9" s="77">
        <f t="shared" si="0"/>
        <v>236995.28184830458</v>
      </c>
      <c r="BA9" s="56">
        <f t="shared" si="0"/>
        <v>240733.90439616895</v>
      </c>
      <c r="BB9" s="56">
        <f t="shared" si="0"/>
        <v>244553.21674786246</v>
      </c>
      <c r="BC9" s="56">
        <f t="shared" si="0"/>
        <v>248384.07408769146</v>
      </c>
      <c r="BD9" s="56">
        <f t="shared" si="0"/>
        <v>252262.40001470677</v>
      </c>
      <c r="BE9" s="56">
        <f t="shared" si="0"/>
        <v>256224.19201588331</v>
      </c>
      <c r="BF9" s="56">
        <f t="shared" si="0"/>
        <v>260235.52737715398</v>
      </c>
      <c r="BG9" s="56">
        <f t="shared" si="0"/>
        <v>264297.56956732628</v>
      </c>
      <c r="BH9" s="56">
        <f t="shared" si="0"/>
        <v>268481.57513271243</v>
      </c>
      <c r="BI9" s="56">
        <f t="shared" si="0"/>
        <v>272788.90114332939</v>
      </c>
      <c r="BJ9" s="56">
        <f t="shared" si="0"/>
        <v>277221.01323479577</v>
      </c>
      <c r="BK9" s="56">
        <f t="shared" si="0"/>
        <v>281779.49429357942</v>
      </c>
      <c r="BL9" s="77">
        <f t="shared" si="0"/>
        <v>286501.05383706576</v>
      </c>
    </row>
    <row r="10" spans="3:64" x14ac:dyDescent="0.2">
      <c r="C10" s="2"/>
      <c r="D10" s="3"/>
      <c r="E10" s="275"/>
      <c r="F10" s="275"/>
      <c r="G10" s="275"/>
      <c r="H10" s="275"/>
      <c r="P10" s="3"/>
      <c r="Q10" s="2"/>
      <c r="AB10" s="3"/>
      <c r="AC10" s="2"/>
      <c r="AN10" s="3"/>
      <c r="AO10" s="2"/>
      <c r="AZ10" s="3"/>
      <c r="BL10" s="3"/>
    </row>
    <row r="11" spans="3:64" x14ac:dyDescent="0.2">
      <c r="C11" s="45" t="s">
        <v>30</v>
      </c>
      <c r="D11" s="3"/>
      <c r="E11" s="275"/>
      <c r="F11" s="275"/>
      <c r="G11" s="275"/>
      <c r="H11" s="275"/>
      <c r="P11" s="3"/>
      <c r="Q11" s="2"/>
      <c r="AB11" s="3"/>
      <c r="AC11" s="2"/>
      <c r="AN11" s="3"/>
      <c r="AO11" s="2"/>
      <c r="AZ11" s="3"/>
      <c r="BL11" s="3"/>
    </row>
    <row r="12" spans="3:64" x14ac:dyDescent="0.2">
      <c r="C12" s="2"/>
      <c r="D12" s="3" t="s">
        <v>45</v>
      </c>
      <c r="E12" s="269">
        <v>0</v>
      </c>
      <c r="F12" s="269">
        <v>0</v>
      </c>
      <c r="G12" s="269">
        <v>0</v>
      </c>
      <c r="H12" s="269">
        <v>2079</v>
      </c>
      <c r="I12" s="48">
        <f t="shared" ref="I12:AJ12" si="1">I6*COGSSubscriptions</f>
        <v>3748.5</v>
      </c>
      <c r="J12" s="48">
        <f t="shared" si="1"/>
        <v>6048</v>
      </c>
      <c r="K12" s="48">
        <f t="shared" si="1"/>
        <v>8305.5</v>
      </c>
      <c r="L12" s="48">
        <f t="shared" si="1"/>
        <v>10500</v>
      </c>
      <c r="M12" s="48">
        <f t="shared" si="1"/>
        <v>12642</v>
      </c>
      <c r="N12" s="48">
        <f t="shared" si="1"/>
        <v>14731.5</v>
      </c>
      <c r="O12" s="48">
        <f t="shared" si="1"/>
        <v>16768.5</v>
      </c>
      <c r="P12" s="66">
        <f t="shared" si="1"/>
        <v>18753</v>
      </c>
      <c r="Q12" s="79">
        <f t="shared" si="1"/>
        <v>20685</v>
      </c>
      <c r="R12" s="48">
        <f t="shared" si="1"/>
        <v>22585.5</v>
      </c>
      <c r="S12" s="48">
        <f t="shared" si="1"/>
        <v>24433.5</v>
      </c>
      <c r="T12" s="48">
        <f t="shared" si="1"/>
        <v>26239.5</v>
      </c>
      <c r="U12" s="48">
        <f t="shared" si="1"/>
        <v>28003.5</v>
      </c>
      <c r="V12" s="48">
        <f t="shared" si="1"/>
        <v>29725.5</v>
      </c>
      <c r="W12" s="48">
        <f t="shared" si="1"/>
        <v>31405.5</v>
      </c>
      <c r="X12" s="48">
        <f t="shared" si="1"/>
        <v>33043.5</v>
      </c>
      <c r="Y12" s="48">
        <f t="shared" si="1"/>
        <v>34650</v>
      </c>
      <c r="Z12" s="48">
        <f t="shared" si="1"/>
        <v>36214.5</v>
      </c>
      <c r="AA12" s="48">
        <f t="shared" si="1"/>
        <v>37747.5</v>
      </c>
      <c r="AB12" s="66">
        <f t="shared" si="1"/>
        <v>39249</v>
      </c>
      <c r="AC12" s="79">
        <f t="shared" si="1"/>
        <v>40719</v>
      </c>
      <c r="AD12" s="48">
        <f t="shared" si="1"/>
        <v>42157.5</v>
      </c>
      <c r="AE12" s="48">
        <f t="shared" si="1"/>
        <v>43564.5</v>
      </c>
      <c r="AF12" s="48">
        <f t="shared" si="1"/>
        <v>44940</v>
      </c>
      <c r="AG12" s="48">
        <f t="shared" si="1"/>
        <v>46284</v>
      </c>
      <c r="AH12" s="48">
        <f t="shared" si="1"/>
        <v>47607</v>
      </c>
      <c r="AI12" s="48">
        <f t="shared" si="1"/>
        <v>48909</v>
      </c>
      <c r="AJ12" s="48">
        <f t="shared" si="1"/>
        <v>50190</v>
      </c>
      <c r="AK12" s="48">
        <f t="shared" ref="AK12:BL12" si="2">AK6*COGSSubscriptions</f>
        <v>51429</v>
      </c>
      <c r="AL12" s="48">
        <f t="shared" si="2"/>
        <v>52657.5</v>
      </c>
      <c r="AM12" s="48">
        <f t="shared" si="2"/>
        <v>53865</v>
      </c>
      <c r="AN12" s="66">
        <f t="shared" si="2"/>
        <v>55051.5</v>
      </c>
      <c r="AO12" s="79">
        <f t="shared" si="2"/>
        <v>56227.5</v>
      </c>
      <c r="AP12" s="48">
        <f t="shared" si="2"/>
        <v>57382.5</v>
      </c>
      <c r="AQ12" s="48">
        <f t="shared" si="2"/>
        <v>58516.5</v>
      </c>
      <c r="AR12" s="48">
        <f t="shared" si="2"/>
        <v>59650.5</v>
      </c>
      <c r="AS12" s="48">
        <f t="shared" si="2"/>
        <v>60763.5</v>
      </c>
      <c r="AT12" s="48">
        <f t="shared" si="2"/>
        <v>61866</v>
      </c>
      <c r="AU12" s="48">
        <f t="shared" si="2"/>
        <v>62968.5</v>
      </c>
      <c r="AV12" s="48">
        <f t="shared" si="2"/>
        <v>64060.5</v>
      </c>
      <c r="AW12" s="48">
        <f t="shared" si="2"/>
        <v>65142</v>
      </c>
      <c r="AX12" s="48">
        <f t="shared" si="2"/>
        <v>66223.5</v>
      </c>
      <c r="AY12" s="48">
        <f t="shared" si="2"/>
        <v>67305</v>
      </c>
      <c r="AZ12" s="66">
        <f t="shared" si="2"/>
        <v>68386.5</v>
      </c>
      <c r="BA12" s="48">
        <f t="shared" si="2"/>
        <v>69468</v>
      </c>
      <c r="BB12" s="48">
        <f t="shared" si="2"/>
        <v>70570.5</v>
      </c>
      <c r="BC12" s="48">
        <f t="shared" si="2"/>
        <v>71673</v>
      </c>
      <c r="BD12" s="48">
        <f t="shared" si="2"/>
        <v>72786</v>
      </c>
      <c r="BE12" s="48">
        <f t="shared" si="2"/>
        <v>73920</v>
      </c>
      <c r="BF12" s="48">
        <f t="shared" si="2"/>
        <v>75064.5</v>
      </c>
      <c r="BG12" s="48">
        <f t="shared" si="2"/>
        <v>76219.5</v>
      </c>
      <c r="BH12" s="48">
        <f t="shared" si="2"/>
        <v>77406</v>
      </c>
      <c r="BI12" s="48">
        <f t="shared" si="2"/>
        <v>78624</v>
      </c>
      <c r="BJ12" s="48">
        <f t="shared" si="2"/>
        <v>79873.5</v>
      </c>
      <c r="BK12" s="48">
        <f t="shared" si="2"/>
        <v>81154.5</v>
      </c>
      <c r="BL12" s="66">
        <f t="shared" si="2"/>
        <v>82477.5</v>
      </c>
    </row>
    <row r="13" spans="3:64" x14ac:dyDescent="0.2">
      <c r="C13" s="68"/>
      <c r="D13" s="143" t="s">
        <v>46</v>
      </c>
      <c r="E13" s="269">
        <v>0</v>
      </c>
      <c r="F13" s="269">
        <v>0</v>
      </c>
      <c r="G13" s="269">
        <v>0</v>
      </c>
      <c r="H13" s="269">
        <v>1490.6779999999999</v>
      </c>
      <c r="I13" s="48">
        <f t="shared" ref="I13:AJ13" si="3">I7*COGSOneTimePurchases</f>
        <v>2600.8617249999998</v>
      </c>
      <c r="J13" s="48">
        <f t="shared" si="3"/>
        <v>2602.570663</v>
      </c>
      <c r="K13" s="48">
        <f t="shared" si="3"/>
        <v>2604.4163160399999</v>
      </c>
      <c r="L13" s="48">
        <f t="shared" si="3"/>
        <v>2606.4096213232001</v>
      </c>
      <c r="M13" s="48">
        <f t="shared" si="3"/>
        <v>2608.5623910290556</v>
      </c>
      <c r="N13" s="48">
        <f t="shared" si="3"/>
        <v>2610.8873823113804</v>
      </c>
      <c r="O13" s="48">
        <f t="shared" si="3"/>
        <v>2613.3983728962908</v>
      </c>
      <c r="P13" s="66">
        <f t="shared" si="3"/>
        <v>2616.1102427279943</v>
      </c>
      <c r="Q13" s="79">
        <f t="shared" si="3"/>
        <v>2619.0390621462338</v>
      </c>
      <c r="R13" s="48">
        <f t="shared" si="3"/>
        <v>2622.2021871179322</v>
      </c>
      <c r="S13" s="48">
        <f t="shared" si="3"/>
        <v>2625.6183620873671</v>
      </c>
      <c r="T13" s="48">
        <f t="shared" si="3"/>
        <v>2629.307831054356</v>
      </c>
      <c r="U13" s="48">
        <f t="shared" si="3"/>
        <v>2633.2924575387046</v>
      </c>
      <c r="V13" s="48">
        <f t="shared" si="3"/>
        <v>2637.5958541418013</v>
      </c>
      <c r="W13" s="48">
        <f t="shared" si="3"/>
        <v>2642.2435224731453</v>
      </c>
      <c r="X13" s="48">
        <f t="shared" si="3"/>
        <v>2647.263004270997</v>
      </c>
      <c r="Y13" s="48">
        <f t="shared" si="3"/>
        <v>2652.6840446126766</v>
      </c>
      <c r="Z13" s="48">
        <f t="shared" si="3"/>
        <v>2658.538768181691</v>
      </c>
      <c r="AA13" s="48">
        <f t="shared" si="3"/>
        <v>2664.8618696362259</v>
      </c>
      <c r="AB13" s="66">
        <f t="shared" si="3"/>
        <v>2671.6908192071242</v>
      </c>
      <c r="AC13" s="79">
        <f t="shared" si="3"/>
        <v>2679.0660847436943</v>
      </c>
      <c r="AD13" s="48">
        <f t="shared" si="3"/>
        <v>2687.0313715231896</v>
      </c>
      <c r="AE13" s="48">
        <f t="shared" si="3"/>
        <v>2695.6338812450449</v>
      </c>
      <c r="AF13" s="48">
        <f t="shared" si="3"/>
        <v>2704.9245917446488</v>
      </c>
      <c r="AG13" s="48">
        <f t="shared" si="3"/>
        <v>2714.9585590842207</v>
      </c>
      <c r="AH13" s="48">
        <f t="shared" si="3"/>
        <v>2725.7952438109583</v>
      </c>
      <c r="AI13" s="48">
        <f t="shared" si="3"/>
        <v>2737.498863315835</v>
      </c>
      <c r="AJ13" s="48">
        <f t="shared" si="3"/>
        <v>2750.1387723811017</v>
      </c>
      <c r="AK13" s="48">
        <f t="shared" ref="AK13:BL13" si="4">AK7*COGSOneTimePurchases</f>
        <v>2763.7898741715899</v>
      </c>
      <c r="AL13" s="48">
        <f t="shared" si="4"/>
        <v>2778.533064105317</v>
      </c>
      <c r="AM13" s="48">
        <f t="shared" si="4"/>
        <v>2794.4557092337427</v>
      </c>
      <c r="AN13" s="66">
        <f t="shared" si="4"/>
        <v>2811.6521659724417</v>
      </c>
      <c r="AO13" s="79">
        <f t="shared" si="4"/>
        <v>2830.2243392502373</v>
      </c>
      <c r="AP13" s="48">
        <f t="shared" si="4"/>
        <v>2850.2822863902561</v>
      </c>
      <c r="AQ13" s="48">
        <f t="shared" si="4"/>
        <v>2871.9448693014765</v>
      </c>
      <c r="AR13" s="48">
        <f t="shared" si="4"/>
        <v>2895.3404588455946</v>
      </c>
      <c r="AS13" s="48">
        <f t="shared" si="4"/>
        <v>2920.6076955532426</v>
      </c>
      <c r="AT13" s="48">
        <f t="shared" si="4"/>
        <v>2947.8963111975022</v>
      </c>
      <c r="AU13" s="48">
        <f t="shared" si="4"/>
        <v>2977.3680160933022</v>
      </c>
      <c r="AV13" s="48">
        <f t="shared" si="4"/>
        <v>3009.1974573807665</v>
      </c>
      <c r="AW13" s="48">
        <f t="shared" si="4"/>
        <v>3043.5732539712276</v>
      </c>
      <c r="AX13" s="48">
        <f t="shared" si="4"/>
        <v>3080.699114288926</v>
      </c>
      <c r="AY13" s="48">
        <f t="shared" si="4"/>
        <v>3120.7950434320401</v>
      </c>
      <c r="AZ13" s="66">
        <f t="shared" si="4"/>
        <v>3164.0986469066033</v>
      </c>
      <c r="BA13" s="48">
        <f t="shared" si="4"/>
        <v>3210.8665386591315</v>
      </c>
      <c r="BB13" s="48">
        <f t="shared" si="4"/>
        <v>3261.375861751862</v>
      </c>
      <c r="BC13" s="48">
        <f t="shared" si="4"/>
        <v>3315.9259306920112</v>
      </c>
      <c r="BD13" s="48">
        <f t="shared" si="4"/>
        <v>3374.8400051473723</v>
      </c>
      <c r="BE13" s="48">
        <f t="shared" si="4"/>
        <v>3438.4672055591618</v>
      </c>
      <c r="BF13" s="48">
        <f t="shared" si="4"/>
        <v>3507.1845820038952</v>
      </c>
      <c r="BG13" s="48">
        <f t="shared" si="4"/>
        <v>3581.3993485642068</v>
      </c>
      <c r="BH13" s="48">
        <f t="shared" si="4"/>
        <v>3661.5512964493428</v>
      </c>
      <c r="BI13" s="48">
        <f t="shared" si="4"/>
        <v>3748.1154001652908</v>
      </c>
      <c r="BJ13" s="48">
        <f t="shared" si="4"/>
        <v>3841.6046321785138</v>
      </c>
      <c r="BK13" s="48">
        <f t="shared" si="4"/>
        <v>3942.5730027527957</v>
      </c>
      <c r="BL13" s="66">
        <f t="shared" si="4"/>
        <v>4051.6188429730196</v>
      </c>
    </row>
    <row r="14" spans="3:64" x14ac:dyDescent="0.2">
      <c r="C14" s="68"/>
      <c r="D14" s="143" t="s">
        <v>50</v>
      </c>
      <c r="E14" s="269">
        <v>0</v>
      </c>
      <c r="F14" s="269">
        <v>0</v>
      </c>
      <c r="G14" s="269">
        <v>0</v>
      </c>
      <c r="H14" s="269">
        <v>462</v>
      </c>
      <c r="I14" s="48">
        <f>'Subscription Details'!G10*AverageShippingPerOrder</f>
        <v>1249.5</v>
      </c>
      <c r="J14" s="48">
        <f>'Subscription Details'!H10*AverageShippingPerOrder</f>
        <v>2016</v>
      </c>
      <c r="K14" s="48">
        <f>'Subscription Details'!I10*AverageShippingPerOrder</f>
        <v>2768.5</v>
      </c>
      <c r="L14" s="48">
        <f>'Subscription Details'!J10*AverageShippingPerOrder</f>
        <v>3500</v>
      </c>
      <c r="M14" s="48">
        <f>'Subscription Details'!K10*AverageShippingPerOrder</f>
        <v>4214</v>
      </c>
      <c r="N14" s="48">
        <f>'Subscription Details'!L10*AverageShippingPerOrder</f>
        <v>4910.5</v>
      </c>
      <c r="O14" s="48">
        <f>'Subscription Details'!M10*AverageShippingPerOrder</f>
        <v>5589.5</v>
      </c>
      <c r="P14" s="66">
        <f>'Subscription Details'!N10*AverageShippingPerOrder</f>
        <v>6251</v>
      </c>
      <c r="Q14" s="79">
        <f>'Subscription Details'!O10*AverageShippingPerOrder</f>
        <v>6895</v>
      </c>
      <c r="R14" s="48">
        <f>'Subscription Details'!P10*AverageShippingPerOrder</f>
        <v>7528.5</v>
      </c>
      <c r="S14" s="48">
        <f>'Subscription Details'!Q10*AverageShippingPerOrder</f>
        <v>8144.5</v>
      </c>
      <c r="T14" s="48">
        <f>'Subscription Details'!R10*AverageShippingPerOrder</f>
        <v>8746.5</v>
      </c>
      <c r="U14" s="48">
        <f>'Subscription Details'!S10*AverageShippingPerOrder</f>
        <v>9334.5</v>
      </c>
      <c r="V14" s="48">
        <f>'Subscription Details'!T10*AverageShippingPerOrder</f>
        <v>9908.5</v>
      </c>
      <c r="W14" s="48">
        <f>'Subscription Details'!U10*AverageShippingPerOrder</f>
        <v>10468.5</v>
      </c>
      <c r="X14" s="48">
        <f>'Subscription Details'!V10*AverageShippingPerOrder</f>
        <v>11014.5</v>
      </c>
      <c r="Y14" s="48">
        <f>'Subscription Details'!W10*AverageShippingPerOrder</f>
        <v>11550</v>
      </c>
      <c r="Z14" s="48">
        <f>'Subscription Details'!X10*AverageShippingPerOrder</f>
        <v>12071.5</v>
      </c>
      <c r="AA14" s="48">
        <f>'Subscription Details'!Y10*AverageShippingPerOrder</f>
        <v>12582.5</v>
      </c>
      <c r="AB14" s="66">
        <f>'Subscription Details'!Z10*AverageShippingPerOrder</f>
        <v>13083</v>
      </c>
      <c r="AC14" s="79">
        <f>'Subscription Details'!AA10*AverageShippingPerOrder</f>
        <v>13573</v>
      </c>
      <c r="AD14" s="48">
        <f>'Subscription Details'!AB10*AverageShippingPerOrder</f>
        <v>14052.5</v>
      </c>
      <c r="AE14" s="48">
        <f>'Subscription Details'!AC10*AverageShippingPerOrder</f>
        <v>14521.5</v>
      </c>
      <c r="AF14" s="48">
        <f>'Subscription Details'!AD10*AverageShippingPerOrder</f>
        <v>14980</v>
      </c>
      <c r="AG14" s="48">
        <f>'Subscription Details'!AE10*AverageShippingPerOrder</f>
        <v>15428</v>
      </c>
      <c r="AH14" s="48">
        <f>'Subscription Details'!AF10*AverageShippingPerOrder</f>
        <v>15869</v>
      </c>
      <c r="AI14" s="48">
        <f>'Subscription Details'!AG10*AverageShippingPerOrder</f>
        <v>16303</v>
      </c>
      <c r="AJ14" s="48">
        <f>'Subscription Details'!AH10*AverageShippingPerOrder</f>
        <v>16730</v>
      </c>
      <c r="AK14" s="48">
        <f>'Subscription Details'!AI10*AverageShippingPerOrder</f>
        <v>17143</v>
      </c>
      <c r="AL14" s="48">
        <f>'Subscription Details'!AJ10*AverageShippingPerOrder</f>
        <v>17552.5</v>
      </c>
      <c r="AM14" s="48">
        <f>'Subscription Details'!AK10*AverageShippingPerOrder</f>
        <v>17955</v>
      </c>
      <c r="AN14" s="66">
        <f>'Subscription Details'!AL10*AverageShippingPerOrder</f>
        <v>18350.5</v>
      </c>
      <c r="AO14" s="79">
        <f>'Subscription Details'!AM10*AverageShippingPerOrder</f>
        <v>18742.5</v>
      </c>
      <c r="AP14" s="48">
        <f>'Subscription Details'!AN10*AverageShippingPerOrder</f>
        <v>19127.5</v>
      </c>
      <c r="AQ14" s="48">
        <f>'Subscription Details'!AO10*AverageShippingPerOrder</f>
        <v>19505.5</v>
      </c>
      <c r="AR14" s="48">
        <f>'Subscription Details'!AP10*AverageShippingPerOrder</f>
        <v>19883.5</v>
      </c>
      <c r="AS14" s="48">
        <f>'Subscription Details'!AQ10*AverageShippingPerOrder</f>
        <v>20254.5</v>
      </c>
      <c r="AT14" s="48">
        <f>'Subscription Details'!AR10*AverageShippingPerOrder</f>
        <v>20622</v>
      </c>
      <c r="AU14" s="48">
        <f>'Subscription Details'!AS10*AverageShippingPerOrder</f>
        <v>20989.5</v>
      </c>
      <c r="AV14" s="48">
        <f>'Subscription Details'!AT10*AverageShippingPerOrder</f>
        <v>21353.5</v>
      </c>
      <c r="AW14" s="48">
        <f>'Subscription Details'!AU10*AverageShippingPerOrder</f>
        <v>21714</v>
      </c>
      <c r="AX14" s="48">
        <f>'Subscription Details'!AV10*AverageShippingPerOrder</f>
        <v>22074.5</v>
      </c>
      <c r="AY14" s="48">
        <f>'Subscription Details'!AW10*AverageShippingPerOrder</f>
        <v>22435</v>
      </c>
      <c r="AZ14" s="66">
        <f>'Subscription Details'!AX10*AverageShippingPerOrder</f>
        <v>22795.5</v>
      </c>
      <c r="BA14" s="48">
        <f>'Subscription Details'!AY10*AverageShippingPerOrder</f>
        <v>23156</v>
      </c>
      <c r="BB14" s="48">
        <f>'Subscription Details'!AZ10*AverageShippingPerOrder</f>
        <v>23523.5</v>
      </c>
      <c r="BC14" s="48">
        <f>'Subscription Details'!BA10*AverageShippingPerOrder</f>
        <v>23891</v>
      </c>
      <c r="BD14" s="48">
        <f>'Subscription Details'!BB10*AverageShippingPerOrder</f>
        <v>24262</v>
      </c>
      <c r="BE14" s="48">
        <f>'Subscription Details'!BC10*AverageShippingPerOrder</f>
        <v>24640</v>
      </c>
      <c r="BF14" s="48">
        <f>'Subscription Details'!BD10*AverageShippingPerOrder</f>
        <v>25021.5</v>
      </c>
      <c r="BG14" s="48">
        <f>'Subscription Details'!BE10*AverageShippingPerOrder</f>
        <v>25406.5</v>
      </c>
      <c r="BH14" s="48">
        <f>'Subscription Details'!BF10*AverageShippingPerOrder</f>
        <v>25802</v>
      </c>
      <c r="BI14" s="48">
        <f>'Subscription Details'!BG10*AverageShippingPerOrder</f>
        <v>26208</v>
      </c>
      <c r="BJ14" s="48">
        <f>'Subscription Details'!BH10*AverageShippingPerOrder</f>
        <v>26624.5</v>
      </c>
      <c r="BK14" s="48">
        <f>'Subscription Details'!BI10*AverageShippingPerOrder</f>
        <v>27051.5</v>
      </c>
      <c r="BL14" s="66">
        <f>'Subscription Details'!BJ10*AverageShippingPerOrder</f>
        <v>27492.5</v>
      </c>
    </row>
    <row r="15" spans="3:64" x14ac:dyDescent="0.2">
      <c r="C15" s="68"/>
      <c r="D15" s="3" t="s">
        <v>51</v>
      </c>
      <c r="E15" s="270"/>
      <c r="F15" s="271"/>
      <c r="G15" s="271"/>
      <c r="H15" s="271">
        <v>576</v>
      </c>
      <c r="I15" s="38">
        <f>Employees!H19</f>
        <v>649.99999999999989</v>
      </c>
      <c r="J15" s="38">
        <f>Employees!I19</f>
        <v>649.99999999999989</v>
      </c>
      <c r="K15" s="38">
        <f>Employees!J19</f>
        <v>1299.9999999999998</v>
      </c>
      <c r="L15" s="38">
        <f>Employees!K19</f>
        <v>1299.9999999999998</v>
      </c>
      <c r="M15" s="38">
        <f>Employees!L19</f>
        <v>1299.9999999999998</v>
      </c>
      <c r="N15" s="38">
        <f>Employees!M19</f>
        <v>1299.9999999999998</v>
      </c>
      <c r="O15" s="38">
        <f>Employees!N19</f>
        <v>1950</v>
      </c>
      <c r="P15" s="84">
        <f>Employees!O19</f>
        <v>1950</v>
      </c>
      <c r="Q15" s="83">
        <f>Employees!P19</f>
        <v>1950</v>
      </c>
      <c r="R15" s="38">
        <f>Employees!Q19</f>
        <v>1950</v>
      </c>
      <c r="S15" s="38">
        <f>Employees!R19</f>
        <v>2599.9999999999995</v>
      </c>
      <c r="T15" s="38">
        <f>Employees!S19</f>
        <v>2599.9999999999995</v>
      </c>
      <c r="U15" s="38">
        <f>Employees!T19</f>
        <v>2599.9999999999995</v>
      </c>
      <c r="V15" s="38">
        <f>Employees!U19</f>
        <v>2599.9999999999995</v>
      </c>
      <c r="W15" s="38">
        <f>Employees!V19</f>
        <v>3250</v>
      </c>
      <c r="X15" s="38">
        <f>Employees!W19</f>
        <v>3250</v>
      </c>
      <c r="Y15" s="38">
        <f>Employees!X19</f>
        <v>3250</v>
      </c>
      <c r="Z15" s="38">
        <f>Employees!Y19</f>
        <v>3250</v>
      </c>
      <c r="AA15" s="38">
        <f>Employees!Z19</f>
        <v>3900</v>
      </c>
      <c r="AB15" s="84">
        <f>Employees!AA19</f>
        <v>3900</v>
      </c>
      <c r="AC15" s="83">
        <f>Employees!AB19</f>
        <v>3900</v>
      </c>
      <c r="AD15" s="38">
        <f>Employees!AC19</f>
        <v>3900</v>
      </c>
      <c r="AE15" s="38">
        <f>Employees!AD19</f>
        <v>3900</v>
      </c>
      <c r="AF15" s="38">
        <f>Employees!AE19</f>
        <v>4550</v>
      </c>
      <c r="AG15" s="38">
        <f>Employees!AF19</f>
        <v>4550</v>
      </c>
      <c r="AH15" s="38">
        <f>Employees!AG19</f>
        <v>4550</v>
      </c>
      <c r="AI15" s="38">
        <f>Employees!AH19</f>
        <v>4550</v>
      </c>
      <c r="AJ15" s="38">
        <f>Employees!AI19</f>
        <v>4550</v>
      </c>
      <c r="AK15" s="38">
        <f>Employees!AJ19</f>
        <v>4550</v>
      </c>
      <c r="AL15" s="38">
        <f>Employees!AK19</f>
        <v>5199.9999999999991</v>
      </c>
      <c r="AM15" s="38">
        <f>Employees!AL19</f>
        <v>5199.9999999999991</v>
      </c>
      <c r="AN15" s="84">
        <f>Employees!AM19</f>
        <v>5199.9999999999991</v>
      </c>
      <c r="AO15" s="83">
        <f>Employees!AN19</f>
        <v>5199.9999999999991</v>
      </c>
      <c r="AP15" s="38">
        <f>Employees!AO19</f>
        <v>5199.9999999999991</v>
      </c>
      <c r="AQ15" s="38">
        <f>Employees!AP19</f>
        <v>5199.9999999999991</v>
      </c>
      <c r="AR15" s="38">
        <f>Employees!AQ19</f>
        <v>5850</v>
      </c>
      <c r="AS15" s="38">
        <f>Employees!AR19</f>
        <v>5850</v>
      </c>
      <c r="AT15" s="38">
        <f>Employees!AS19</f>
        <v>5850</v>
      </c>
      <c r="AU15" s="38">
        <f>Employees!AT19</f>
        <v>5850</v>
      </c>
      <c r="AV15" s="38">
        <f>Employees!AU19</f>
        <v>5850</v>
      </c>
      <c r="AW15" s="38">
        <f>Employees!AV19</f>
        <v>5850</v>
      </c>
      <c r="AX15" s="38">
        <f>Employees!AW19</f>
        <v>5850</v>
      </c>
      <c r="AY15" s="38">
        <f>Employees!AX19</f>
        <v>6500</v>
      </c>
      <c r="AZ15" s="84">
        <f>Employees!AY19</f>
        <v>6500</v>
      </c>
      <c r="BA15" s="38">
        <f>Employees!AZ19</f>
        <v>6500</v>
      </c>
      <c r="BB15" s="38">
        <f>Employees!BA19</f>
        <v>6500</v>
      </c>
      <c r="BC15" s="38">
        <f>Employees!BB19</f>
        <v>6500</v>
      </c>
      <c r="BD15" s="38">
        <f>Employees!BC19</f>
        <v>6500</v>
      </c>
      <c r="BE15" s="38">
        <f>Employees!BD19</f>
        <v>7149.9999999999991</v>
      </c>
      <c r="BF15" s="38">
        <f>Employees!BE19</f>
        <v>7149.9999999999991</v>
      </c>
      <c r="BG15" s="38">
        <f>Employees!BF19</f>
        <v>7149.9999999999991</v>
      </c>
      <c r="BH15" s="38">
        <f>Employees!BG19</f>
        <v>7149.9999999999991</v>
      </c>
      <c r="BI15" s="38">
        <f>Employees!BH19</f>
        <v>7149.9999999999991</v>
      </c>
      <c r="BJ15" s="38">
        <f>Employees!BI19</f>
        <v>7149.9999999999991</v>
      </c>
      <c r="BK15" s="38">
        <f>Employees!BJ19</f>
        <v>7800</v>
      </c>
      <c r="BL15" s="84">
        <f>Employees!BK19</f>
        <v>7800</v>
      </c>
    </row>
    <row r="16" spans="3:64" s="1" customFormat="1" x14ac:dyDescent="0.2">
      <c r="C16" s="45"/>
      <c r="D16" s="142" t="s">
        <v>31</v>
      </c>
      <c r="E16" s="280">
        <f>SUM(E12:E15)</f>
        <v>0</v>
      </c>
      <c r="F16" s="280">
        <f t="shared" ref="F16:BL16" si="5">SUM(F12:F15)</f>
        <v>0</v>
      </c>
      <c r="G16" s="280">
        <f t="shared" si="5"/>
        <v>0</v>
      </c>
      <c r="H16" s="280">
        <f t="shared" si="5"/>
        <v>4607.6779999999999</v>
      </c>
      <c r="I16" s="20">
        <f t="shared" si="5"/>
        <v>8248.8617249999988</v>
      </c>
      <c r="J16" s="20">
        <f t="shared" si="5"/>
        <v>11316.570663</v>
      </c>
      <c r="K16" s="20">
        <f t="shared" si="5"/>
        <v>14978.41631604</v>
      </c>
      <c r="L16" s="20">
        <f t="shared" si="5"/>
        <v>17906.409621323201</v>
      </c>
      <c r="M16" s="20">
        <f t="shared" si="5"/>
        <v>20764.562391029056</v>
      </c>
      <c r="N16" s="20">
        <f t="shared" si="5"/>
        <v>23552.887382311379</v>
      </c>
      <c r="O16" s="20">
        <f t="shared" si="5"/>
        <v>26921.398372896292</v>
      </c>
      <c r="P16" s="67">
        <f t="shared" si="5"/>
        <v>29570.110242727995</v>
      </c>
      <c r="Q16" s="80">
        <f t="shared" si="5"/>
        <v>32149.039062146236</v>
      </c>
      <c r="R16" s="20">
        <f t="shared" si="5"/>
        <v>34686.202187117931</v>
      </c>
      <c r="S16" s="20">
        <f t="shared" si="5"/>
        <v>37803.618362087363</v>
      </c>
      <c r="T16" s="20">
        <f t="shared" si="5"/>
        <v>40215.307831054357</v>
      </c>
      <c r="U16" s="20">
        <f t="shared" si="5"/>
        <v>42571.292457538701</v>
      </c>
      <c r="V16" s="20">
        <f t="shared" si="5"/>
        <v>44871.5958541418</v>
      </c>
      <c r="W16" s="20">
        <f t="shared" si="5"/>
        <v>47766.243522473145</v>
      </c>
      <c r="X16" s="20">
        <f t="shared" si="5"/>
        <v>49955.263004270993</v>
      </c>
      <c r="Y16" s="20">
        <f t="shared" si="5"/>
        <v>52102.684044612673</v>
      </c>
      <c r="Z16" s="20">
        <f t="shared" si="5"/>
        <v>54194.538768181694</v>
      </c>
      <c r="AA16" s="20">
        <f t="shared" si="5"/>
        <v>56894.861869636225</v>
      </c>
      <c r="AB16" s="67">
        <f t="shared" si="5"/>
        <v>58903.690819207128</v>
      </c>
      <c r="AC16" s="80">
        <f t="shared" si="5"/>
        <v>60871.066084743696</v>
      </c>
      <c r="AD16" s="20">
        <f t="shared" si="5"/>
        <v>62797.03137152319</v>
      </c>
      <c r="AE16" s="20">
        <f t="shared" si="5"/>
        <v>64681.633881245041</v>
      </c>
      <c r="AF16" s="20">
        <f t="shared" si="5"/>
        <v>67174.924591744639</v>
      </c>
      <c r="AG16" s="20">
        <f t="shared" si="5"/>
        <v>68976.958559084218</v>
      </c>
      <c r="AH16" s="20">
        <f t="shared" si="5"/>
        <v>70751.79524381095</v>
      </c>
      <c r="AI16" s="20">
        <f t="shared" si="5"/>
        <v>72499.498863315835</v>
      </c>
      <c r="AJ16" s="20">
        <f t="shared" si="5"/>
        <v>74220.138772381091</v>
      </c>
      <c r="AK16" s="20">
        <f t="shared" si="5"/>
        <v>75885.789874171591</v>
      </c>
      <c r="AL16" s="20">
        <f t="shared" si="5"/>
        <v>78188.533064105315</v>
      </c>
      <c r="AM16" s="20">
        <f t="shared" si="5"/>
        <v>79814.455709233735</v>
      </c>
      <c r="AN16" s="67">
        <f t="shared" si="5"/>
        <v>81413.652165972439</v>
      </c>
      <c r="AO16" s="80">
        <f t="shared" si="5"/>
        <v>83000.224339250242</v>
      </c>
      <c r="AP16" s="20">
        <f t="shared" si="5"/>
        <v>84560.282286390255</v>
      </c>
      <c r="AQ16" s="20">
        <f t="shared" si="5"/>
        <v>86093.944869301486</v>
      </c>
      <c r="AR16" s="20">
        <f t="shared" si="5"/>
        <v>88279.340458845603</v>
      </c>
      <c r="AS16" s="20">
        <f t="shared" si="5"/>
        <v>89788.607695553248</v>
      </c>
      <c r="AT16" s="20">
        <f t="shared" si="5"/>
        <v>91285.896311197503</v>
      </c>
      <c r="AU16" s="20">
        <f t="shared" si="5"/>
        <v>92785.3680160933</v>
      </c>
      <c r="AV16" s="20">
        <f t="shared" si="5"/>
        <v>94273.197457380767</v>
      </c>
      <c r="AW16" s="20">
        <f t="shared" si="5"/>
        <v>95749.573253971233</v>
      </c>
      <c r="AX16" s="20">
        <f t="shared" si="5"/>
        <v>97228.699114288931</v>
      </c>
      <c r="AY16" s="20">
        <f t="shared" si="5"/>
        <v>99360.795043432037</v>
      </c>
      <c r="AZ16" s="67">
        <f t="shared" si="5"/>
        <v>100846.0986469066</v>
      </c>
      <c r="BA16" s="20">
        <f t="shared" si="5"/>
        <v>102334.86653865913</v>
      </c>
      <c r="BB16" s="20">
        <f t="shared" si="5"/>
        <v>103855.37586175186</v>
      </c>
      <c r="BC16" s="20">
        <f t="shared" si="5"/>
        <v>105379.92593069201</v>
      </c>
      <c r="BD16" s="20">
        <f t="shared" si="5"/>
        <v>106922.84000514737</v>
      </c>
      <c r="BE16" s="20">
        <f t="shared" si="5"/>
        <v>109148.46720555917</v>
      </c>
      <c r="BF16" s="20">
        <f t="shared" si="5"/>
        <v>110743.1845820039</v>
      </c>
      <c r="BG16" s="20">
        <f t="shared" si="5"/>
        <v>112357.39934856421</v>
      </c>
      <c r="BH16" s="20">
        <f t="shared" si="5"/>
        <v>114019.55129644934</v>
      </c>
      <c r="BI16" s="20">
        <f t="shared" si="5"/>
        <v>115730.11540016529</v>
      </c>
      <c r="BJ16" s="20">
        <f t="shared" si="5"/>
        <v>117489.60463217851</v>
      </c>
      <c r="BK16" s="20">
        <f t="shared" si="5"/>
        <v>119948.57300275279</v>
      </c>
      <c r="BL16" s="67">
        <f t="shared" si="5"/>
        <v>121821.61884297302</v>
      </c>
    </row>
    <row r="17" spans="3:64" x14ac:dyDescent="0.2">
      <c r="C17" s="2"/>
      <c r="D17" s="3"/>
      <c r="E17" s="275"/>
      <c r="F17" s="275"/>
      <c r="G17" s="275"/>
      <c r="H17" s="275"/>
      <c r="P17" s="3"/>
      <c r="Q17" s="2"/>
      <c r="AB17" s="3"/>
      <c r="AC17" s="2"/>
      <c r="AN17" s="3"/>
      <c r="AO17" s="2"/>
      <c r="AZ17" s="3"/>
      <c r="BL17" s="3"/>
    </row>
    <row r="18" spans="3:64" s="1" customFormat="1" x14ac:dyDescent="0.2">
      <c r="C18" s="45" t="s">
        <v>32</v>
      </c>
      <c r="D18" s="47"/>
      <c r="E18" s="280">
        <f>E9-E16</f>
        <v>0</v>
      </c>
      <c r="F18" s="280">
        <f t="shared" ref="F18:BL18" si="6">F9-F16</f>
        <v>0</v>
      </c>
      <c r="G18" s="280">
        <f t="shared" si="6"/>
        <v>0</v>
      </c>
      <c r="H18" s="280">
        <f t="shared" si="6"/>
        <v>4271.402</v>
      </c>
      <c r="I18" s="20">
        <f t="shared" si="6"/>
        <v>11677.171774999999</v>
      </c>
      <c r="J18" s="20">
        <f t="shared" si="6"/>
        <v>16279.345517</v>
      </c>
      <c r="K18" s="20">
        <f t="shared" si="6"/>
        <v>20147.773158360003</v>
      </c>
      <c r="L18" s="20">
        <f t="shared" si="6"/>
        <v>24540.475011028797</v>
      </c>
      <c r="M18" s="20">
        <f t="shared" si="6"/>
        <v>28828.473011911101</v>
      </c>
      <c r="N18" s="20">
        <f t="shared" si="6"/>
        <v>33011.790852863996</v>
      </c>
      <c r="O18" s="20">
        <f t="shared" si="6"/>
        <v>36440.454121093113</v>
      </c>
      <c r="P18" s="67">
        <f t="shared" si="6"/>
        <v>40414.490450780562</v>
      </c>
      <c r="Q18" s="80">
        <f t="shared" si="6"/>
        <v>44283.929686843003</v>
      </c>
      <c r="R18" s="20">
        <f t="shared" si="6"/>
        <v>48090.804061790448</v>
      </c>
      <c r="S18" s="20">
        <f t="shared" si="6"/>
        <v>51143.148386733679</v>
      </c>
      <c r="T18" s="20">
        <f t="shared" si="6"/>
        <v>54762.000257672371</v>
      </c>
      <c r="U18" s="20">
        <f t="shared" si="6"/>
        <v>58297.400278286164</v>
      </c>
      <c r="V18" s="20">
        <f t="shared" si="6"/>
        <v>61749.392300549058</v>
      </c>
      <c r="W18" s="20">
        <f t="shared" si="6"/>
        <v>64468.02368459299</v>
      </c>
      <c r="X18" s="20">
        <f t="shared" si="6"/>
        <v>67753.345579360423</v>
      </c>
      <c r="Y18" s="20">
        <f t="shared" si="6"/>
        <v>70976.413225709257</v>
      </c>
      <c r="Z18" s="20">
        <f t="shared" si="6"/>
        <v>74116.286283765992</v>
      </c>
      <c r="AA18" s="20">
        <f t="shared" si="6"/>
        <v>76544.029186467291</v>
      </c>
      <c r="AB18" s="67">
        <f t="shared" si="6"/>
        <v>79559.71152138467</v>
      </c>
      <c r="AC18" s="80">
        <f t="shared" si="6"/>
        <v>82513.408443095439</v>
      </c>
      <c r="AD18" s="20">
        <f t="shared" si="6"/>
        <v>85405.201118543075</v>
      </c>
      <c r="AE18" s="20">
        <f t="shared" si="6"/>
        <v>88235.177208026522</v>
      </c>
      <c r="AF18" s="20">
        <f t="shared" si="6"/>
        <v>90353.431384668656</v>
      </c>
      <c r="AG18" s="20">
        <f t="shared" si="6"/>
        <v>93060.065895442123</v>
      </c>
      <c r="AH18" s="20">
        <f t="shared" si="6"/>
        <v>95726.191167077515</v>
      </c>
      <c r="AI18" s="20">
        <f t="shared" si="6"/>
        <v>98351.92646044369</v>
      </c>
      <c r="AJ18" s="20">
        <f t="shared" si="6"/>
        <v>100937.40057727919</v>
      </c>
      <c r="AK18" s="20">
        <f t="shared" si="6"/>
        <v>103440.75262346152</v>
      </c>
      <c r="AL18" s="20">
        <f t="shared" si="6"/>
        <v>105275.13283333846</v>
      </c>
      <c r="AM18" s="20">
        <f t="shared" si="6"/>
        <v>107719.70346000552</v>
      </c>
      <c r="AN18" s="67">
        <f t="shared" si="6"/>
        <v>110124.63973680597</v>
      </c>
      <c r="AO18" s="80">
        <f t="shared" si="6"/>
        <v>112511.13091575043</v>
      </c>
      <c r="AP18" s="20">
        <f t="shared" si="6"/>
        <v>114858.38138901046</v>
      </c>
      <c r="AQ18" s="20">
        <f t="shared" si="6"/>
        <v>117166.61190013131</v>
      </c>
      <c r="AR18" s="20">
        <f t="shared" si="6"/>
        <v>118828.06085214182</v>
      </c>
      <c r="AS18" s="20">
        <f t="shared" si="6"/>
        <v>121100.98572031315</v>
      </c>
      <c r="AT18" s="20">
        <f t="shared" si="6"/>
        <v>123356.66457793822</v>
      </c>
      <c r="AU18" s="20">
        <f t="shared" si="6"/>
        <v>125616.39774417327</v>
      </c>
      <c r="AV18" s="20">
        <f t="shared" si="6"/>
        <v>127859.50956370714</v>
      </c>
      <c r="AW18" s="20">
        <f t="shared" si="6"/>
        <v>130086.3503288037</v>
      </c>
      <c r="AX18" s="20">
        <f t="shared" si="6"/>
        <v>132318.29835510801</v>
      </c>
      <c r="AY18" s="20">
        <f t="shared" si="6"/>
        <v>133905.76222351665</v>
      </c>
      <c r="AZ18" s="67">
        <f t="shared" si="6"/>
        <v>136149.183201398</v>
      </c>
      <c r="BA18" s="20">
        <f t="shared" si="6"/>
        <v>138399.0378575098</v>
      </c>
      <c r="BB18" s="20">
        <f t="shared" si="6"/>
        <v>140697.84088611061</v>
      </c>
      <c r="BC18" s="20">
        <f t="shared" si="6"/>
        <v>143004.14815699944</v>
      </c>
      <c r="BD18" s="20">
        <f t="shared" si="6"/>
        <v>145339.56000955938</v>
      </c>
      <c r="BE18" s="20">
        <f t="shared" si="6"/>
        <v>147075.72481032414</v>
      </c>
      <c r="BF18" s="20">
        <f t="shared" si="6"/>
        <v>149492.34279515006</v>
      </c>
      <c r="BG18" s="20">
        <f t="shared" si="6"/>
        <v>151940.17021876207</v>
      </c>
      <c r="BH18" s="20">
        <f t="shared" si="6"/>
        <v>154462.02383626311</v>
      </c>
      <c r="BI18" s="20">
        <f t="shared" si="6"/>
        <v>157058.7857431641</v>
      </c>
      <c r="BJ18" s="20">
        <f t="shared" si="6"/>
        <v>159731.40860261727</v>
      </c>
      <c r="BK18" s="20">
        <f t="shared" si="6"/>
        <v>161830.92129082663</v>
      </c>
      <c r="BL18" s="67">
        <f t="shared" si="6"/>
        <v>164679.43499409273</v>
      </c>
    </row>
    <row r="19" spans="3:64" s="27" customFormat="1" x14ac:dyDescent="0.2">
      <c r="C19" s="70"/>
      <c r="D19" s="162" t="s">
        <v>92</v>
      </c>
      <c r="E19" s="323"/>
      <c r="F19" s="323"/>
      <c r="G19" s="323"/>
      <c r="H19" s="323">
        <f t="shared" ref="H19:BL19" si="7">H18/H9</f>
        <v>0.48106357865905025</v>
      </c>
      <c r="I19" s="71">
        <f t="shared" si="7"/>
        <v>0.58602590299770396</v>
      </c>
      <c r="J19" s="71">
        <f t="shared" si="7"/>
        <v>0.58991864632486357</v>
      </c>
      <c r="K19" s="71">
        <f t="shared" si="7"/>
        <v>0.57358265897425964</v>
      </c>
      <c r="L19" s="71">
        <f t="shared" si="7"/>
        <v>0.57814549226834511</v>
      </c>
      <c r="M19" s="71">
        <f t="shared" si="7"/>
        <v>0.58130083745997096</v>
      </c>
      <c r="N19" s="71">
        <f t="shared" si="7"/>
        <v>0.58361139641974036</v>
      </c>
      <c r="O19" s="71">
        <f t="shared" si="7"/>
        <v>0.57511661491510058</v>
      </c>
      <c r="P19" s="72">
        <f t="shared" si="7"/>
        <v>0.57747690277997421</v>
      </c>
      <c r="Q19" s="81">
        <f t="shared" si="7"/>
        <v>0.57938256764923346</v>
      </c>
      <c r="R19" s="71">
        <f t="shared" si="7"/>
        <v>0.58096814853611167</v>
      </c>
      <c r="S19" s="71">
        <f t="shared" si="7"/>
        <v>0.57498603103986989</v>
      </c>
      <c r="T19" s="71">
        <f t="shared" si="7"/>
        <v>0.57657983111623179</v>
      </c>
      <c r="U19" s="71">
        <f t="shared" si="7"/>
        <v>0.57795336389425678</v>
      </c>
      <c r="V19" s="71">
        <f t="shared" si="7"/>
        <v>0.57914856511140256</v>
      </c>
      <c r="W19" s="71">
        <f t="shared" si="7"/>
        <v>0.57440588591052133</v>
      </c>
      <c r="X19" s="71">
        <f t="shared" si="7"/>
        <v>0.57560229786610706</v>
      </c>
      <c r="Y19" s="71">
        <f t="shared" si="7"/>
        <v>0.5766731703420106</v>
      </c>
      <c r="Z19" s="71">
        <f t="shared" si="7"/>
        <v>0.5776308137194146</v>
      </c>
      <c r="AA19" s="71">
        <f t="shared" si="7"/>
        <v>0.5736260889209942</v>
      </c>
      <c r="AB19" s="72">
        <f t="shared" si="7"/>
        <v>0.57459018178452648</v>
      </c>
      <c r="AC19" s="81">
        <f t="shared" si="7"/>
        <v>0.57546961562477161</v>
      </c>
      <c r="AD19" s="71">
        <f t="shared" si="7"/>
        <v>0.57627472733427032</v>
      </c>
      <c r="AE19" s="71">
        <f t="shared" si="7"/>
        <v>0.5770142378689519</v>
      </c>
      <c r="AF19" s="71">
        <f t="shared" si="7"/>
        <v>0.5735693159788785</v>
      </c>
      <c r="AG19" s="71">
        <f t="shared" si="7"/>
        <v>0.57431359412279426</v>
      </c>
      <c r="AH19" s="71">
        <f t="shared" si="7"/>
        <v>0.57500810305822248</v>
      </c>
      <c r="AI19" s="71">
        <f t="shared" si="7"/>
        <v>0.57565762927683539</v>
      </c>
      <c r="AJ19" s="71">
        <f t="shared" si="7"/>
        <v>0.57626637684023252</v>
      </c>
      <c r="AK19" s="71">
        <f t="shared" si="7"/>
        <v>0.57682901361256556</v>
      </c>
      <c r="AL19" s="71">
        <f t="shared" si="7"/>
        <v>0.57382006577905886</v>
      </c>
      <c r="AM19" s="71">
        <f t="shared" si="7"/>
        <v>0.5744004395636233</v>
      </c>
      <c r="AN19" s="72">
        <f t="shared" si="7"/>
        <v>0.57494842750661768</v>
      </c>
      <c r="AO19" s="81">
        <f t="shared" si="7"/>
        <v>0.57547108079223797</v>
      </c>
      <c r="AP19" s="71">
        <f t="shared" si="7"/>
        <v>0.57596605689810776</v>
      </c>
      <c r="AQ19" s="71">
        <f t="shared" si="7"/>
        <v>0.57643555524173062</v>
      </c>
      <c r="AR19" s="71">
        <f t="shared" si="7"/>
        <v>0.57375091425975888</v>
      </c>
      <c r="AS19" s="71">
        <f t="shared" si="7"/>
        <v>0.57423879366824204</v>
      </c>
      <c r="AT19" s="71">
        <f t="shared" si="7"/>
        <v>0.57470738360064921</v>
      </c>
      <c r="AU19" s="71">
        <f t="shared" si="7"/>
        <v>0.575162006162802</v>
      </c>
      <c r="AV19" s="71">
        <f t="shared" si="7"/>
        <v>0.57559965517175704</v>
      </c>
      <c r="AW19" s="71">
        <f t="shared" si="7"/>
        <v>0.57602151272059943</v>
      </c>
      <c r="AX19" s="71">
        <f t="shared" si="7"/>
        <v>0.57643227667462127</v>
      </c>
      <c r="AY19" s="71">
        <f t="shared" si="7"/>
        <v>0.57404612042297942</v>
      </c>
      <c r="AZ19" s="72">
        <f t="shared" si="7"/>
        <v>0.57448056408373593</v>
      </c>
      <c r="BA19" s="71">
        <f t="shared" si="7"/>
        <v>0.57490463673845638</v>
      </c>
      <c r="BB19" s="71">
        <f t="shared" si="7"/>
        <v>0.57532606913599471</v>
      </c>
      <c r="BC19" s="71">
        <f t="shared" si="7"/>
        <v>0.57573799239041445</v>
      </c>
      <c r="BD19" s="71">
        <f t="shared" si="7"/>
        <v>0.57614436396817825</v>
      </c>
      <c r="BE19" s="71">
        <f t="shared" si="7"/>
        <v>0.57401185911909103</v>
      </c>
      <c r="BF19" s="71">
        <f t="shared" si="7"/>
        <v>0.57445016943629645</v>
      </c>
      <c r="BG19" s="71">
        <f t="shared" si="7"/>
        <v>0.57488296418124019</v>
      </c>
      <c r="BH19" s="71">
        <f t="shared" si="7"/>
        <v>0.5753170352934327</v>
      </c>
      <c r="BI19" s="71">
        <f t="shared" si="7"/>
        <v>0.57575211119253678</v>
      </c>
      <c r="BJ19" s="71">
        <f t="shared" si="7"/>
        <v>0.57618795465310124</v>
      </c>
      <c r="BK19" s="71">
        <f t="shared" si="7"/>
        <v>0.57431759431798401</v>
      </c>
      <c r="BL19" s="72">
        <f t="shared" si="7"/>
        <v>0.57479521554481461</v>
      </c>
    </row>
    <row r="20" spans="3:64" x14ac:dyDescent="0.2">
      <c r="C20" s="2"/>
      <c r="D20" s="3"/>
      <c r="E20" s="275"/>
      <c r="F20" s="275"/>
      <c r="G20" s="275"/>
      <c r="H20" s="275"/>
      <c r="P20" s="3"/>
      <c r="Q20" s="2"/>
      <c r="AB20" s="3"/>
      <c r="AC20" s="2"/>
      <c r="AN20" s="3"/>
      <c r="AO20" s="2"/>
      <c r="AZ20" s="3"/>
      <c r="BL20" s="3"/>
    </row>
    <row r="21" spans="3:64" x14ac:dyDescent="0.2">
      <c r="C21" s="45" t="s">
        <v>33</v>
      </c>
      <c r="D21" s="3"/>
      <c r="E21" s="275"/>
      <c r="F21" s="275"/>
      <c r="G21" s="275"/>
      <c r="H21" s="275"/>
      <c r="P21" s="3"/>
      <c r="Q21" s="2"/>
      <c r="AB21" s="3"/>
      <c r="AC21" s="2"/>
      <c r="AN21" s="3"/>
      <c r="AO21" s="2"/>
      <c r="AZ21" s="3"/>
      <c r="BL21" s="3"/>
    </row>
    <row r="22" spans="3:64" x14ac:dyDescent="0.2">
      <c r="C22" s="68"/>
      <c r="D22" s="143" t="s">
        <v>47</v>
      </c>
      <c r="E22" s="269">
        <v>0</v>
      </c>
      <c r="F22" s="269">
        <v>0</v>
      </c>
      <c r="G22" s="269">
        <v>0</v>
      </c>
      <c r="H22" s="269">
        <v>9867</v>
      </c>
      <c r="I22" s="48">
        <f>'Marketing Detail'!G7</f>
        <v>20000</v>
      </c>
      <c r="J22" s="48">
        <f>'Marketing Detail'!H7</f>
        <v>20000</v>
      </c>
      <c r="K22" s="48">
        <f>'Marketing Detail'!I7</f>
        <v>20000</v>
      </c>
      <c r="L22" s="48">
        <f>'Marketing Detail'!J7</f>
        <v>20000</v>
      </c>
      <c r="M22" s="48">
        <f>'Marketing Detail'!K7</f>
        <v>20000</v>
      </c>
      <c r="N22" s="48">
        <f>'Marketing Detail'!L7</f>
        <v>20000</v>
      </c>
      <c r="O22" s="48">
        <f>'Marketing Detail'!M7</f>
        <v>20000</v>
      </c>
      <c r="P22" s="66">
        <f>'Marketing Detail'!N7</f>
        <v>20000</v>
      </c>
      <c r="Q22" s="79">
        <f>'Marketing Detail'!O7</f>
        <v>20000</v>
      </c>
      <c r="R22" s="48">
        <f>'Marketing Detail'!P7</f>
        <v>20000</v>
      </c>
      <c r="S22" s="48">
        <f>'Marketing Detail'!Q7</f>
        <v>20000</v>
      </c>
      <c r="T22" s="48">
        <f>'Marketing Detail'!R7</f>
        <v>20000</v>
      </c>
      <c r="U22" s="48">
        <f>'Marketing Detail'!S7</f>
        <v>20000</v>
      </c>
      <c r="V22" s="48">
        <f>'Marketing Detail'!T7</f>
        <v>20000</v>
      </c>
      <c r="W22" s="48">
        <f>'Marketing Detail'!U7</f>
        <v>20000</v>
      </c>
      <c r="X22" s="48">
        <f>'Marketing Detail'!V7</f>
        <v>20000</v>
      </c>
      <c r="Y22" s="48">
        <f>'Marketing Detail'!W7</f>
        <v>20000</v>
      </c>
      <c r="Z22" s="48">
        <f>'Marketing Detail'!X7</f>
        <v>20000</v>
      </c>
      <c r="AA22" s="48">
        <f>'Marketing Detail'!Y7</f>
        <v>20000</v>
      </c>
      <c r="AB22" s="66">
        <f>'Marketing Detail'!Z7</f>
        <v>20000</v>
      </c>
      <c r="AC22" s="79">
        <f>'Marketing Detail'!AA7</f>
        <v>20000</v>
      </c>
      <c r="AD22" s="48">
        <f>'Marketing Detail'!AB7</f>
        <v>20000</v>
      </c>
      <c r="AE22" s="48">
        <f>'Marketing Detail'!AC7</f>
        <v>20000</v>
      </c>
      <c r="AF22" s="48">
        <f>'Marketing Detail'!AD7</f>
        <v>20000</v>
      </c>
      <c r="AG22" s="48">
        <f>'Marketing Detail'!AE7</f>
        <v>20000</v>
      </c>
      <c r="AH22" s="48">
        <f>'Marketing Detail'!AF7</f>
        <v>20000</v>
      </c>
      <c r="AI22" s="48">
        <f>'Marketing Detail'!AG7</f>
        <v>20000</v>
      </c>
      <c r="AJ22" s="48">
        <f>'Marketing Detail'!AH7</f>
        <v>20000</v>
      </c>
      <c r="AK22" s="48">
        <f>'Marketing Detail'!AI7</f>
        <v>20000</v>
      </c>
      <c r="AL22" s="48">
        <f>'Marketing Detail'!AJ7</f>
        <v>20000</v>
      </c>
      <c r="AM22" s="48">
        <f>'Marketing Detail'!AK7</f>
        <v>20000</v>
      </c>
      <c r="AN22" s="66">
        <f>'Marketing Detail'!AL7</f>
        <v>20000</v>
      </c>
      <c r="AO22" s="79">
        <f>'Marketing Detail'!AM7</f>
        <v>20000</v>
      </c>
      <c r="AP22" s="48">
        <f>'Marketing Detail'!AN7</f>
        <v>20000</v>
      </c>
      <c r="AQ22" s="48">
        <f>'Marketing Detail'!AO7</f>
        <v>20000</v>
      </c>
      <c r="AR22" s="48">
        <f>'Marketing Detail'!AP7</f>
        <v>20000</v>
      </c>
      <c r="AS22" s="48">
        <f>'Marketing Detail'!AQ7</f>
        <v>20000</v>
      </c>
      <c r="AT22" s="48">
        <f>'Marketing Detail'!AR7</f>
        <v>20000</v>
      </c>
      <c r="AU22" s="48">
        <f>'Marketing Detail'!AS7</f>
        <v>20000</v>
      </c>
      <c r="AV22" s="48">
        <f>'Marketing Detail'!AT7</f>
        <v>20000</v>
      </c>
      <c r="AW22" s="48">
        <f>'Marketing Detail'!AU7</f>
        <v>20000</v>
      </c>
      <c r="AX22" s="48">
        <f>'Marketing Detail'!AV7</f>
        <v>20000</v>
      </c>
      <c r="AY22" s="48">
        <f>'Marketing Detail'!AW7</f>
        <v>20000</v>
      </c>
      <c r="AZ22" s="66">
        <f>'Marketing Detail'!AX7</f>
        <v>20000</v>
      </c>
      <c r="BA22" s="48">
        <f>'Marketing Detail'!AY7</f>
        <v>20000</v>
      </c>
      <c r="BB22" s="48">
        <f>'Marketing Detail'!AZ7</f>
        <v>20000</v>
      </c>
      <c r="BC22" s="48">
        <f>'Marketing Detail'!BA7</f>
        <v>20000</v>
      </c>
      <c r="BD22" s="48">
        <f>'Marketing Detail'!BB7</f>
        <v>20000</v>
      </c>
      <c r="BE22" s="48">
        <f>'Marketing Detail'!BC7</f>
        <v>20000</v>
      </c>
      <c r="BF22" s="48">
        <f>'Marketing Detail'!BD7</f>
        <v>20000</v>
      </c>
      <c r="BG22" s="48">
        <f>'Marketing Detail'!BE7</f>
        <v>20000</v>
      </c>
      <c r="BH22" s="48">
        <f>'Marketing Detail'!BF7</f>
        <v>20000</v>
      </c>
      <c r="BI22" s="48">
        <f>'Marketing Detail'!BG7</f>
        <v>20000</v>
      </c>
      <c r="BJ22" s="48">
        <f>'Marketing Detail'!BH7</f>
        <v>20000</v>
      </c>
      <c r="BK22" s="48">
        <f>'Marketing Detail'!BI7</f>
        <v>20000</v>
      </c>
      <c r="BL22" s="66">
        <f>'Marketing Detail'!BJ7</f>
        <v>20000</v>
      </c>
    </row>
    <row r="23" spans="3:64" x14ac:dyDescent="0.2">
      <c r="C23" s="68"/>
      <c r="D23" s="143" t="s">
        <v>48</v>
      </c>
      <c r="E23" s="269">
        <v>0</v>
      </c>
      <c r="F23" s="269">
        <v>0</v>
      </c>
      <c r="G23" s="269">
        <v>0</v>
      </c>
      <c r="H23" s="269">
        <v>18657</v>
      </c>
      <c r="I23" s="48">
        <f>'Marketing Detail'!G21+'Marketing Detail'!G35</f>
        <v>30000</v>
      </c>
      <c r="J23" s="48">
        <f>'Marketing Detail'!H21+'Marketing Detail'!H35</f>
        <v>30000</v>
      </c>
      <c r="K23" s="48">
        <f>'Marketing Detail'!I21+'Marketing Detail'!I35</f>
        <v>30000</v>
      </c>
      <c r="L23" s="48">
        <f>'Marketing Detail'!J21+'Marketing Detail'!J35</f>
        <v>30000</v>
      </c>
      <c r="M23" s="48">
        <f>'Marketing Detail'!K21+'Marketing Detail'!K35</f>
        <v>30000</v>
      </c>
      <c r="N23" s="48">
        <f>'Marketing Detail'!L21+'Marketing Detail'!L35</f>
        <v>30000</v>
      </c>
      <c r="O23" s="48">
        <f>'Marketing Detail'!M21+'Marketing Detail'!M35</f>
        <v>30000</v>
      </c>
      <c r="P23" s="66">
        <f>'Marketing Detail'!N21+'Marketing Detail'!N35</f>
        <v>30000</v>
      </c>
      <c r="Q23" s="79">
        <f>'Marketing Detail'!O21+'Marketing Detail'!O35</f>
        <v>30000</v>
      </c>
      <c r="R23" s="48">
        <f>'Marketing Detail'!P21+'Marketing Detail'!P35</f>
        <v>30000</v>
      </c>
      <c r="S23" s="48">
        <f>'Marketing Detail'!Q21+'Marketing Detail'!Q35</f>
        <v>30000</v>
      </c>
      <c r="T23" s="48">
        <f>'Marketing Detail'!R21+'Marketing Detail'!R35</f>
        <v>30000</v>
      </c>
      <c r="U23" s="48">
        <f>'Marketing Detail'!S21+'Marketing Detail'!S35</f>
        <v>30000</v>
      </c>
      <c r="V23" s="48">
        <f>'Marketing Detail'!T21+'Marketing Detail'!T35</f>
        <v>30000</v>
      </c>
      <c r="W23" s="48">
        <f>'Marketing Detail'!U21+'Marketing Detail'!U35</f>
        <v>30000</v>
      </c>
      <c r="X23" s="48">
        <f>'Marketing Detail'!V21+'Marketing Detail'!V35</f>
        <v>30000</v>
      </c>
      <c r="Y23" s="48">
        <f>'Marketing Detail'!W21+'Marketing Detail'!W35</f>
        <v>30000</v>
      </c>
      <c r="Z23" s="48">
        <f>'Marketing Detail'!X21+'Marketing Detail'!X35</f>
        <v>30000</v>
      </c>
      <c r="AA23" s="48">
        <f>'Marketing Detail'!Y21+'Marketing Detail'!Y35</f>
        <v>30000</v>
      </c>
      <c r="AB23" s="66">
        <f>'Marketing Detail'!Z21+'Marketing Detail'!Z35</f>
        <v>30000</v>
      </c>
      <c r="AC23" s="79">
        <f>'Marketing Detail'!AA21+'Marketing Detail'!AA35</f>
        <v>30000</v>
      </c>
      <c r="AD23" s="48">
        <f>'Marketing Detail'!AB21+'Marketing Detail'!AB35</f>
        <v>30000</v>
      </c>
      <c r="AE23" s="48">
        <f>'Marketing Detail'!AC21+'Marketing Detail'!AC35</f>
        <v>30000</v>
      </c>
      <c r="AF23" s="48">
        <f>'Marketing Detail'!AD21+'Marketing Detail'!AD35</f>
        <v>30000</v>
      </c>
      <c r="AG23" s="48">
        <f>'Marketing Detail'!AE21+'Marketing Detail'!AE35</f>
        <v>30000</v>
      </c>
      <c r="AH23" s="48">
        <f>'Marketing Detail'!AF21+'Marketing Detail'!AF35</f>
        <v>30000</v>
      </c>
      <c r="AI23" s="48">
        <f>'Marketing Detail'!AG21+'Marketing Detail'!AG35</f>
        <v>30000</v>
      </c>
      <c r="AJ23" s="48">
        <f>'Marketing Detail'!AH21+'Marketing Detail'!AH35</f>
        <v>30000</v>
      </c>
      <c r="AK23" s="48">
        <f>'Marketing Detail'!AI21+'Marketing Detail'!AI35</f>
        <v>30000</v>
      </c>
      <c r="AL23" s="48">
        <f>'Marketing Detail'!AJ21+'Marketing Detail'!AJ35</f>
        <v>30000</v>
      </c>
      <c r="AM23" s="48">
        <f>'Marketing Detail'!AK21+'Marketing Detail'!AK35</f>
        <v>30000</v>
      </c>
      <c r="AN23" s="66">
        <f>'Marketing Detail'!AL21+'Marketing Detail'!AL35</f>
        <v>30000</v>
      </c>
      <c r="AO23" s="79">
        <f>'Marketing Detail'!AM21+'Marketing Detail'!AM35</f>
        <v>30000</v>
      </c>
      <c r="AP23" s="48">
        <f>'Marketing Detail'!AN21+'Marketing Detail'!AN35</f>
        <v>30000</v>
      </c>
      <c r="AQ23" s="48">
        <f>'Marketing Detail'!AO21+'Marketing Detail'!AO35</f>
        <v>30000</v>
      </c>
      <c r="AR23" s="48">
        <f>'Marketing Detail'!AP21+'Marketing Detail'!AP35</f>
        <v>30000</v>
      </c>
      <c r="AS23" s="48">
        <f>'Marketing Detail'!AQ21+'Marketing Detail'!AQ35</f>
        <v>30000</v>
      </c>
      <c r="AT23" s="48">
        <f>'Marketing Detail'!AR21+'Marketing Detail'!AR35</f>
        <v>30000</v>
      </c>
      <c r="AU23" s="48">
        <f>'Marketing Detail'!AS21+'Marketing Detail'!AS35</f>
        <v>30000</v>
      </c>
      <c r="AV23" s="48">
        <f>'Marketing Detail'!AT21+'Marketing Detail'!AT35</f>
        <v>30000</v>
      </c>
      <c r="AW23" s="48">
        <f>'Marketing Detail'!AU21+'Marketing Detail'!AU35</f>
        <v>30000</v>
      </c>
      <c r="AX23" s="48">
        <f>'Marketing Detail'!AV21+'Marketing Detail'!AV35</f>
        <v>30000</v>
      </c>
      <c r="AY23" s="48">
        <f>'Marketing Detail'!AW21+'Marketing Detail'!AW35</f>
        <v>30000</v>
      </c>
      <c r="AZ23" s="66">
        <f>'Marketing Detail'!AX21+'Marketing Detail'!AX35</f>
        <v>30000</v>
      </c>
      <c r="BA23" s="48">
        <f>'Marketing Detail'!AY21+'Marketing Detail'!AY35</f>
        <v>30000</v>
      </c>
      <c r="BB23" s="48">
        <f>'Marketing Detail'!AZ21+'Marketing Detail'!AZ35</f>
        <v>30000</v>
      </c>
      <c r="BC23" s="48">
        <f>'Marketing Detail'!BA21+'Marketing Detail'!BA35</f>
        <v>30000</v>
      </c>
      <c r="BD23" s="48">
        <f>'Marketing Detail'!BB21+'Marketing Detail'!BB35</f>
        <v>30000</v>
      </c>
      <c r="BE23" s="48">
        <f>'Marketing Detail'!BC21+'Marketing Detail'!BC35</f>
        <v>30000</v>
      </c>
      <c r="BF23" s="48">
        <f>'Marketing Detail'!BD21+'Marketing Detail'!BD35</f>
        <v>30000</v>
      </c>
      <c r="BG23" s="48">
        <f>'Marketing Detail'!BE21+'Marketing Detail'!BE35</f>
        <v>30000</v>
      </c>
      <c r="BH23" s="48">
        <f>'Marketing Detail'!BF21+'Marketing Detail'!BF35</f>
        <v>30000</v>
      </c>
      <c r="BI23" s="48">
        <f>'Marketing Detail'!BG21+'Marketing Detail'!BG35</f>
        <v>30000</v>
      </c>
      <c r="BJ23" s="48">
        <f>'Marketing Detail'!BH21+'Marketing Detail'!BH35</f>
        <v>30000</v>
      </c>
      <c r="BK23" s="48">
        <f>'Marketing Detail'!BI21+'Marketing Detail'!BI35</f>
        <v>30000</v>
      </c>
      <c r="BL23" s="66">
        <f>'Marketing Detail'!BJ21+'Marketing Detail'!BJ35</f>
        <v>30000</v>
      </c>
    </row>
    <row r="24" spans="3:64" x14ac:dyDescent="0.2">
      <c r="C24" s="68"/>
      <c r="D24" s="143" t="s">
        <v>49</v>
      </c>
      <c r="E24" s="269"/>
      <c r="F24" s="269"/>
      <c r="G24" s="269"/>
      <c r="H24" s="269"/>
      <c r="I24" s="48"/>
      <c r="J24" s="48"/>
      <c r="K24" s="48"/>
      <c r="L24" s="48"/>
      <c r="M24" s="48"/>
      <c r="N24" s="48"/>
      <c r="O24" s="48"/>
      <c r="P24" s="66"/>
      <c r="Q24" s="79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66"/>
      <c r="AC24" s="79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66"/>
      <c r="AO24" s="79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66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66"/>
    </row>
    <row r="25" spans="3:64" x14ac:dyDescent="0.2">
      <c r="C25" s="68"/>
      <c r="D25" s="143" t="s">
        <v>52</v>
      </c>
      <c r="E25" s="270"/>
      <c r="F25" s="271">
        <v>3750</v>
      </c>
      <c r="G25" s="271">
        <v>3750</v>
      </c>
      <c r="H25" s="271">
        <v>3750</v>
      </c>
      <c r="I25" s="38">
        <f>Employees!H18</f>
        <v>3750</v>
      </c>
      <c r="J25" s="38">
        <f>Employees!I18</f>
        <v>3750</v>
      </c>
      <c r="K25" s="38">
        <f>Employees!J18</f>
        <v>3750</v>
      </c>
      <c r="L25" s="38">
        <f>Employees!K18</f>
        <v>3750</v>
      </c>
      <c r="M25" s="38">
        <f>Employees!L18</f>
        <v>3750</v>
      </c>
      <c r="N25" s="38">
        <f>Employees!M18</f>
        <v>3750</v>
      </c>
      <c r="O25" s="38">
        <f>Employees!N18</f>
        <v>3750</v>
      </c>
      <c r="P25" s="84">
        <f>Employees!O18</f>
        <v>3750</v>
      </c>
      <c r="Q25" s="83">
        <f>Employees!P18</f>
        <v>3750</v>
      </c>
      <c r="R25" s="38">
        <f>Employees!Q18</f>
        <v>3750</v>
      </c>
      <c r="S25" s="38">
        <f>Employees!R18</f>
        <v>3750</v>
      </c>
      <c r="T25" s="38">
        <f>Employees!S18</f>
        <v>3750</v>
      </c>
      <c r="U25" s="38">
        <f>Employees!T18</f>
        <v>3750</v>
      </c>
      <c r="V25" s="38">
        <f>Employees!U18</f>
        <v>3750</v>
      </c>
      <c r="W25" s="38">
        <f>Employees!V18</f>
        <v>3750</v>
      </c>
      <c r="X25" s="38">
        <f>Employees!W18</f>
        <v>3750</v>
      </c>
      <c r="Y25" s="38">
        <f>Employees!X18</f>
        <v>3750</v>
      </c>
      <c r="Z25" s="38">
        <f>Employees!Y18</f>
        <v>3750</v>
      </c>
      <c r="AA25" s="38">
        <f>Employees!Z18</f>
        <v>3750</v>
      </c>
      <c r="AB25" s="84">
        <f>Employees!AA18</f>
        <v>3750</v>
      </c>
      <c r="AC25" s="83">
        <f>Employees!AB18</f>
        <v>3750</v>
      </c>
      <c r="AD25" s="38">
        <f>Employees!AC18</f>
        <v>3750</v>
      </c>
      <c r="AE25" s="38">
        <f>Employees!AD18</f>
        <v>3750</v>
      </c>
      <c r="AF25" s="38">
        <f>Employees!AE18</f>
        <v>3750</v>
      </c>
      <c r="AG25" s="38">
        <f>Employees!AF18</f>
        <v>3750</v>
      </c>
      <c r="AH25" s="38">
        <f>Employees!AG18</f>
        <v>3750</v>
      </c>
      <c r="AI25" s="38">
        <f>Employees!AH18</f>
        <v>3750</v>
      </c>
      <c r="AJ25" s="38">
        <f>Employees!AI18</f>
        <v>3750</v>
      </c>
      <c r="AK25" s="38">
        <f>Employees!AJ18</f>
        <v>3750</v>
      </c>
      <c r="AL25" s="38">
        <f>Employees!AK18</f>
        <v>3750</v>
      </c>
      <c r="AM25" s="38">
        <f>Employees!AL18</f>
        <v>3750</v>
      </c>
      <c r="AN25" s="84">
        <f>Employees!AM18</f>
        <v>3750</v>
      </c>
      <c r="AO25" s="83">
        <f>Employees!AN18</f>
        <v>3750</v>
      </c>
      <c r="AP25" s="38">
        <f>Employees!AO18</f>
        <v>3750</v>
      </c>
      <c r="AQ25" s="38">
        <f>Employees!AP18</f>
        <v>3750</v>
      </c>
      <c r="AR25" s="38">
        <f>Employees!AQ18</f>
        <v>3750</v>
      </c>
      <c r="AS25" s="38">
        <f>Employees!AR18</f>
        <v>3750</v>
      </c>
      <c r="AT25" s="38">
        <f>Employees!AS18</f>
        <v>3750</v>
      </c>
      <c r="AU25" s="38">
        <f>Employees!AT18</f>
        <v>3750</v>
      </c>
      <c r="AV25" s="38">
        <f>Employees!AU18</f>
        <v>3750</v>
      </c>
      <c r="AW25" s="38">
        <f>Employees!AV18</f>
        <v>3750</v>
      </c>
      <c r="AX25" s="38">
        <f>Employees!AW18</f>
        <v>3750</v>
      </c>
      <c r="AY25" s="38">
        <f>Employees!AX18</f>
        <v>3750</v>
      </c>
      <c r="AZ25" s="84">
        <f>Employees!AY18</f>
        <v>3750</v>
      </c>
      <c r="BA25" s="38">
        <f>Employees!AZ18</f>
        <v>3750</v>
      </c>
      <c r="BB25" s="38">
        <f>Employees!BA18</f>
        <v>3750</v>
      </c>
      <c r="BC25" s="38">
        <f>Employees!BB18</f>
        <v>3750</v>
      </c>
      <c r="BD25" s="38">
        <f>Employees!BC18</f>
        <v>3750</v>
      </c>
      <c r="BE25" s="38">
        <f>Employees!BD18</f>
        <v>3750</v>
      </c>
      <c r="BF25" s="38">
        <f>Employees!BE18</f>
        <v>3750</v>
      </c>
      <c r="BG25" s="38">
        <f>Employees!BF18</f>
        <v>3750</v>
      </c>
      <c r="BH25" s="38">
        <f>Employees!BG18</f>
        <v>3750</v>
      </c>
      <c r="BI25" s="38">
        <f>Employees!BH18</f>
        <v>3750</v>
      </c>
      <c r="BJ25" s="38">
        <f>Employees!BI18</f>
        <v>3750</v>
      </c>
      <c r="BK25" s="38">
        <f>Employees!BJ18</f>
        <v>3750</v>
      </c>
      <c r="BL25" s="84">
        <f>Employees!BK18</f>
        <v>3750</v>
      </c>
    </row>
    <row r="26" spans="3:64" s="1" customFormat="1" x14ac:dyDescent="0.2">
      <c r="C26" s="45"/>
      <c r="D26" s="144" t="s">
        <v>34</v>
      </c>
      <c r="E26" s="273">
        <f>SUM(E22:E25)</f>
        <v>0</v>
      </c>
      <c r="F26" s="273">
        <f t="shared" ref="F26:BL26" si="8">SUM(F22:F25)</f>
        <v>3750</v>
      </c>
      <c r="G26" s="273">
        <f t="shared" si="8"/>
        <v>3750</v>
      </c>
      <c r="H26" s="273">
        <f t="shared" si="8"/>
        <v>32274</v>
      </c>
      <c r="I26" s="46">
        <f t="shared" si="8"/>
        <v>53750</v>
      </c>
      <c r="J26" s="46">
        <f t="shared" si="8"/>
        <v>53750</v>
      </c>
      <c r="K26" s="46">
        <f t="shared" si="8"/>
        <v>53750</v>
      </c>
      <c r="L26" s="46">
        <f t="shared" si="8"/>
        <v>53750</v>
      </c>
      <c r="M26" s="46">
        <f t="shared" si="8"/>
        <v>53750</v>
      </c>
      <c r="N26" s="46">
        <f t="shared" si="8"/>
        <v>53750</v>
      </c>
      <c r="O26" s="46">
        <f t="shared" si="8"/>
        <v>53750</v>
      </c>
      <c r="P26" s="74">
        <f t="shared" si="8"/>
        <v>53750</v>
      </c>
      <c r="Q26" s="73">
        <f t="shared" si="8"/>
        <v>53750</v>
      </c>
      <c r="R26" s="46">
        <f t="shared" si="8"/>
        <v>53750</v>
      </c>
      <c r="S26" s="46">
        <f t="shared" si="8"/>
        <v>53750</v>
      </c>
      <c r="T26" s="46">
        <f t="shared" si="8"/>
        <v>53750</v>
      </c>
      <c r="U26" s="46">
        <f t="shared" si="8"/>
        <v>53750</v>
      </c>
      <c r="V26" s="46">
        <f t="shared" si="8"/>
        <v>53750</v>
      </c>
      <c r="W26" s="46">
        <f t="shared" si="8"/>
        <v>53750</v>
      </c>
      <c r="X26" s="46">
        <f t="shared" si="8"/>
        <v>53750</v>
      </c>
      <c r="Y26" s="46">
        <f t="shared" si="8"/>
        <v>53750</v>
      </c>
      <c r="Z26" s="46">
        <f t="shared" si="8"/>
        <v>53750</v>
      </c>
      <c r="AA26" s="46">
        <f t="shared" si="8"/>
        <v>53750</v>
      </c>
      <c r="AB26" s="74">
        <f t="shared" si="8"/>
        <v>53750</v>
      </c>
      <c r="AC26" s="73">
        <f t="shared" si="8"/>
        <v>53750</v>
      </c>
      <c r="AD26" s="46">
        <f t="shared" si="8"/>
        <v>53750</v>
      </c>
      <c r="AE26" s="46">
        <f t="shared" si="8"/>
        <v>53750</v>
      </c>
      <c r="AF26" s="46">
        <f t="shared" si="8"/>
        <v>53750</v>
      </c>
      <c r="AG26" s="46">
        <f t="shared" si="8"/>
        <v>53750</v>
      </c>
      <c r="AH26" s="46">
        <f t="shared" si="8"/>
        <v>53750</v>
      </c>
      <c r="AI26" s="46">
        <f t="shared" si="8"/>
        <v>53750</v>
      </c>
      <c r="AJ26" s="46">
        <f t="shared" si="8"/>
        <v>53750</v>
      </c>
      <c r="AK26" s="46">
        <f t="shared" si="8"/>
        <v>53750</v>
      </c>
      <c r="AL26" s="46">
        <f t="shared" si="8"/>
        <v>53750</v>
      </c>
      <c r="AM26" s="46">
        <f t="shared" si="8"/>
        <v>53750</v>
      </c>
      <c r="AN26" s="74">
        <f t="shared" si="8"/>
        <v>53750</v>
      </c>
      <c r="AO26" s="73">
        <f t="shared" si="8"/>
        <v>53750</v>
      </c>
      <c r="AP26" s="46">
        <f t="shared" si="8"/>
        <v>53750</v>
      </c>
      <c r="AQ26" s="46">
        <f t="shared" si="8"/>
        <v>53750</v>
      </c>
      <c r="AR26" s="46">
        <f t="shared" si="8"/>
        <v>53750</v>
      </c>
      <c r="AS26" s="46">
        <f t="shared" si="8"/>
        <v>53750</v>
      </c>
      <c r="AT26" s="46">
        <f t="shared" si="8"/>
        <v>53750</v>
      </c>
      <c r="AU26" s="46">
        <f t="shared" si="8"/>
        <v>53750</v>
      </c>
      <c r="AV26" s="46">
        <f t="shared" si="8"/>
        <v>53750</v>
      </c>
      <c r="AW26" s="46">
        <f t="shared" si="8"/>
        <v>53750</v>
      </c>
      <c r="AX26" s="46">
        <f t="shared" si="8"/>
        <v>53750</v>
      </c>
      <c r="AY26" s="46">
        <f t="shared" si="8"/>
        <v>53750</v>
      </c>
      <c r="AZ26" s="74">
        <f t="shared" si="8"/>
        <v>53750</v>
      </c>
      <c r="BA26" s="46">
        <f t="shared" si="8"/>
        <v>53750</v>
      </c>
      <c r="BB26" s="46">
        <f t="shared" si="8"/>
        <v>53750</v>
      </c>
      <c r="BC26" s="46">
        <f t="shared" si="8"/>
        <v>53750</v>
      </c>
      <c r="BD26" s="46">
        <f t="shared" si="8"/>
        <v>53750</v>
      </c>
      <c r="BE26" s="46">
        <f t="shared" si="8"/>
        <v>53750</v>
      </c>
      <c r="BF26" s="46">
        <f t="shared" si="8"/>
        <v>53750</v>
      </c>
      <c r="BG26" s="46">
        <f t="shared" si="8"/>
        <v>53750</v>
      </c>
      <c r="BH26" s="46">
        <f t="shared" si="8"/>
        <v>53750</v>
      </c>
      <c r="BI26" s="46">
        <f t="shared" si="8"/>
        <v>53750</v>
      </c>
      <c r="BJ26" s="46">
        <f t="shared" si="8"/>
        <v>53750</v>
      </c>
      <c r="BK26" s="46">
        <f t="shared" si="8"/>
        <v>53750</v>
      </c>
      <c r="BL26" s="74">
        <f t="shared" si="8"/>
        <v>53750</v>
      </c>
    </row>
    <row r="27" spans="3:64" x14ac:dyDescent="0.2">
      <c r="C27" s="2"/>
      <c r="D27" s="3"/>
      <c r="E27" s="275"/>
      <c r="F27" s="275"/>
      <c r="G27" s="275"/>
      <c r="H27" s="275"/>
      <c r="P27" s="3"/>
      <c r="Q27" s="2"/>
      <c r="AB27" s="3"/>
      <c r="AC27" s="2"/>
      <c r="AN27" s="3"/>
      <c r="AO27" s="2"/>
      <c r="AZ27" s="3"/>
      <c r="BL27" s="3"/>
    </row>
    <row r="28" spans="3:64" s="1" customFormat="1" x14ac:dyDescent="0.2">
      <c r="C28" s="45" t="s">
        <v>35</v>
      </c>
      <c r="D28" s="47"/>
      <c r="E28" s="280">
        <f>E18-E26</f>
        <v>0</v>
      </c>
      <c r="F28" s="280">
        <f t="shared" ref="F28:BL28" si="9">F18-F26</f>
        <v>-3750</v>
      </c>
      <c r="G28" s="280">
        <f t="shared" si="9"/>
        <v>-3750</v>
      </c>
      <c r="H28" s="280">
        <f t="shared" si="9"/>
        <v>-28002.597999999998</v>
      </c>
      <c r="I28" s="20">
        <f t="shared" si="9"/>
        <v>-42072.828225000005</v>
      </c>
      <c r="J28" s="20">
        <f t="shared" si="9"/>
        <v>-37470.654482999998</v>
      </c>
      <c r="K28" s="20">
        <f t="shared" si="9"/>
        <v>-33602.226841639997</v>
      </c>
      <c r="L28" s="20">
        <f t="shared" si="9"/>
        <v>-29209.524988971203</v>
      </c>
      <c r="M28" s="20">
        <f t="shared" si="9"/>
        <v>-24921.526988088899</v>
      </c>
      <c r="N28" s="20">
        <f t="shared" si="9"/>
        <v>-20738.209147136004</v>
      </c>
      <c r="O28" s="20">
        <f t="shared" si="9"/>
        <v>-17309.545878906887</v>
      </c>
      <c r="P28" s="67">
        <f t="shared" si="9"/>
        <v>-13335.509549219438</v>
      </c>
      <c r="Q28" s="80">
        <f t="shared" si="9"/>
        <v>-9466.0703131569971</v>
      </c>
      <c r="R28" s="20">
        <f t="shared" si="9"/>
        <v>-5659.195938209552</v>
      </c>
      <c r="S28" s="20">
        <f t="shared" si="9"/>
        <v>-2606.8516132663208</v>
      </c>
      <c r="T28" s="20">
        <f t="shared" si="9"/>
        <v>1012.0002576723709</v>
      </c>
      <c r="U28" s="20">
        <f t="shared" si="9"/>
        <v>4547.4002782861644</v>
      </c>
      <c r="V28" s="20">
        <f t="shared" si="9"/>
        <v>7999.3923005490578</v>
      </c>
      <c r="W28" s="20">
        <f t="shared" si="9"/>
        <v>10718.02368459299</v>
      </c>
      <c r="X28" s="20">
        <f t="shared" si="9"/>
        <v>14003.345579360423</v>
      </c>
      <c r="Y28" s="20">
        <f t="shared" si="9"/>
        <v>17226.413225709257</v>
      </c>
      <c r="Z28" s="20">
        <f t="shared" si="9"/>
        <v>20366.286283765992</v>
      </c>
      <c r="AA28" s="20">
        <f t="shared" si="9"/>
        <v>22794.029186467291</v>
      </c>
      <c r="AB28" s="67">
        <f t="shared" si="9"/>
        <v>25809.71152138467</v>
      </c>
      <c r="AC28" s="80">
        <f t="shared" si="9"/>
        <v>28763.408443095439</v>
      </c>
      <c r="AD28" s="20">
        <f t="shared" si="9"/>
        <v>31655.201118543075</v>
      </c>
      <c r="AE28" s="20">
        <f t="shared" si="9"/>
        <v>34485.177208026522</v>
      </c>
      <c r="AF28" s="20">
        <f t="shared" si="9"/>
        <v>36603.431384668656</v>
      </c>
      <c r="AG28" s="20">
        <f t="shared" si="9"/>
        <v>39310.065895442123</v>
      </c>
      <c r="AH28" s="20">
        <f t="shared" si="9"/>
        <v>41976.191167077515</v>
      </c>
      <c r="AI28" s="20">
        <f t="shared" si="9"/>
        <v>44601.92646044369</v>
      </c>
      <c r="AJ28" s="20">
        <f t="shared" si="9"/>
        <v>47187.400577279186</v>
      </c>
      <c r="AK28" s="20">
        <f t="shared" si="9"/>
        <v>49690.752623461522</v>
      </c>
      <c r="AL28" s="20">
        <f t="shared" si="9"/>
        <v>51525.132833338459</v>
      </c>
      <c r="AM28" s="20">
        <f t="shared" si="9"/>
        <v>53969.703460005519</v>
      </c>
      <c r="AN28" s="67">
        <f t="shared" si="9"/>
        <v>56374.63973680597</v>
      </c>
      <c r="AO28" s="80">
        <f t="shared" si="9"/>
        <v>58761.130915750429</v>
      </c>
      <c r="AP28" s="20">
        <f t="shared" si="9"/>
        <v>61108.381389010465</v>
      </c>
      <c r="AQ28" s="20">
        <f t="shared" si="9"/>
        <v>63416.611900131305</v>
      </c>
      <c r="AR28" s="20">
        <f t="shared" si="9"/>
        <v>65078.060852141818</v>
      </c>
      <c r="AS28" s="20">
        <f t="shared" si="9"/>
        <v>67350.985720313154</v>
      </c>
      <c r="AT28" s="20">
        <f t="shared" si="9"/>
        <v>69606.664577938223</v>
      </c>
      <c r="AU28" s="20">
        <f t="shared" si="9"/>
        <v>71866.397744173271</v>
      </c>
      <c r="AV28" s="20">
        <f t="shared" si="9"/>
        <v>74109.509563707135</v>
      </c>
      <c r="AW28" s="20">
        <f t="shared" si="9"/>
        <v>76336.350328803703</v>
      </c>
      <c r="AX28" s="20">
        <f t="shared" si="9"/>
        <v>78568.298355108011</v>
      </c>
      <c r="AY28" s="20">
        <f t="shared" si="9"/>
        <v>80155.762223516649</v>
      </c>
      <c r="AZ28" s="67">
        <f t="shared" si="9"/>
        <v>82399.183201398002</v>
      </c>
      <c r="BA28" s="20">
        <f t="shared" si="9"/>
        <v>84649.0378575098</v>
      </c>
      <c r="BB28" s="20">
        <f t="shared" si="9"/>
        <v>86947.840886110615</v>
      </c>
      <c r="BC28" s="20">
        <f t="shared" si="9"/>
        <v>89254.148156999436</v>
      </c>
      <c r="BD28" s="20">
        <f t="shared" si="9"/>
        <v>91589.560009559384</v>
      </c>
      <c r="BE28" s="20">
        <f t="shared" si="9"/>
        <v>93325.724810324144</v>
      </c>
      <c r="BF28" s="20">
        <f t="shared" si="9"/>
        <v>95742.342795150063</v>
      </c>
      <c r="BG28" s="20">
        <f t="shared" si="9"/>
        <v>98190.170218762069</v>
      </c>
      <c r="BH28" s="20">
        <f t="shared" si="9"/>
        <v>100712.02383626311</v>
      </c>
      <c r="BI28" s="20">
        <f t="shared" si="9"/>
        <v>103308.7857431641</v>
      </c>
      <c r="BJ28" s="20">
        <f t="shared" si="9"/>
        <v>105981.40860261727</v>
      </c>
      <c r="BK28" s="20">
        <f t="shared" si="9"/>
        <v>108080.92129082663</v>
      </c>
      <c r="BL28" s="67">
        <f t="shared" si="9"/>
        <v>110929.43499409273</v>
      </c>
    </row>
    <row r="29" spans="3:64" x14ac:dyDescent="0.2">
      <c r="C29" s="2"/>
      <c r="D29" s="3"/>
      <c r="E29" s="275"/>
      <c r="F29" s="275"/>
      <c r="G29" s="275"/>
      <c r="H29" s="275"/>
      <c r="P29" s="3"/>
      <c r="Q29" s="2"/>
      <c r="AB29" s="3"/>
      <c r="AC29" s="2"/>
      <c r="AN29" s="3"/>
      <c r="AO29" s="2"/>
      <c r="AZ29" s="3"/>
      <c r="BL29" s="3"/>
    </row>
    <row r="30" spans="3:64" x14ac:dyDescent="0.2">
      <c r="C30" s="45" t="s">
        <v>36</v>
      </c>
      <c r="D30" s="3"/>
      <c r="E30" s="275"/>
      <c r="F30" s="275"/>
      <c r="G30" s="275"/>
      <c r="H30" s="275"/>
      <c r="P30" s="3"/>
      <c r="Q30" s="2"/>
      <c r="AB30" s="3"/>
      <c r="AC30" s="2"/>
      <c r="AN30" s="3"/>
      <c r="AO30" s="2"/>
      <c r="AZ30" s="3"/>
      <c r="BL30" s="3"/>
    </row>
    <row r="31" spans="3:64" x14ac:dyDescent="0.2">
      <c r="C31" s="2"/>
      <c r="D31" s="3" t="s">
        <v>54</v>
      </c>
      <c r="E31" s="269">
        <v>12000</v>
      </c>
      <c r="F31" s="269">
        <v>12000</v>
      </c>
      <c r="G31" s="269">
        <v>12000</v>
      </c>
      <c r="H31" s="269">
        <v>12000</v>
      </c>
      <c r="I31" s="48">
        <f>SUM(Employees!H14:H15)</f>
        <v>12000</v>
      </c>
      <c r="J31" s="48">
        <f>SUM(Employees!I14:I15)</f>
        <v>12000</v>
      </c>
      <c r="K31" s="48">
        <f>SUM(Employees!J14:J15)</f>
        <v>12000</v>
      </c>
      <c r="L31" s="48">
        <f>SUM(Employees!K14:K15)</f>
        <v>12000</v>
      </c>
      <c r="M31" s="48">
        <f>SUM(Employees!L14:L15)</f>
        <v>12000</v>
      </c>
      <c r="N31" s="48">
        <f>SUM(Employees!M14:M15)</f>
        <v>12000</v>
      </c>
      <c r="O31" s="48">
        <f>SUM(Employees!N14:N15)</f>
        <v>12000</v>
      </c>
      <c r="P31" s="66">
        <f>SUM(Employees!O14:O15)</f>
        <v>12000</v>
      </c>
      <c r="Q31" s="79">
        <f>SUM(Employees!P14:P15)</f>
        <v>26000</v>
      </c>
      <c r="R31" s="48">
        <f>SUM(Employees!Q14:Q15)</f>
        <v>26000</v>
      </c>
      <c r="S31" s="48">
        <f>SUM(Employees!R14:R15)</f>
        <v>26000</v>
      </c>
      <c r="T31" s="48">
        <f>SUM(Employees!S14:S15)</f>
        <v>26000</v>
      </c>
      <c r="U31" s="48">
        <f>SUM(Employees!T14:T15)</f>
        <v>26000</v>
      </c>
      <c r="V31" s="48">
        <f>SUM(Employees!U14:U15)</f>
        <v>26000</v>
      </c>
      <c r="W31" s="48">
        <f>SUM(Employees!V14:V15)</f>
        <v>26000</v>
      </c>
      <c r="X31" s="48">
        <f>SUM(Employees!W14:W15)</f>
        <v>26000</v>
      </c>
      <c r="Y31" s="48">
        <f>SUM(Employees!X14:X15)</f>
        <v>26000</v>
      </c>
      <c r="Z31" s="48">
        <f>SUM(Employees!Y14:Y15)</f>
        <v>26000</v>
      </c>
      <c r="AA31" s="48">
        <f>SUM(Employees!Z14:Z15)</f>
        <v>26000</v>
      </c>
      <c r="AB31" s="66">
        <f>SUM(Employees!AA14:AA15)</f>
        <v>26000</v>
      </c>
      <c r="AC31" s="79">
        <f>SUM(Employees!AB14:AB15)</f>
        <v>26000</v>
      </c>
      <c r="AD31" s="48">
        <f>SUM(Employees!AC14:AC15)</f>
        <v>26000</v>
      </c>
      <c r="AE31" s="48">
        <f>SUM(Employees!AD14:AD15)</f>
        <v>26000</v>
      </c>
      <c r="AF31" s="48">
        <f>SUM(Employees!AE14:AE15)</f>
        <v>26000</v>
      </c>
      <c r="AG31" s="48">
        <f>SUM(Employees!AF14:AF15)</f>
        <v>26000</v>
      </c>
      <c r="AH31" s="48">
        <f>SUM(Employees!AG14:AG15)</f>
        <v>26000</v>
      </c>
      <c r="AI31" s="48">
        <f>SUM(Employees!AH14:AH15)</f>
        <v>26000</v>
      </c>
      <c r="AJ31" s="48">
        <f>SUM(Employees!AI14:AI15)</f>
        <v>26000</v>
      </c>
      <c r="AK31" s="48">
        <f>SUM(Employees!AJ14:AJ15)</f>
        <v>26000</v>
      </c>
      <c r="AL31" s="48">
        <f>SUM(Employees!AK14:AK15)</f>
        <v>26000</v>
      </c>
      <c r="AM31" s="48">
        <f>SUM(Employees!AL14:AL15)</f>
        <v>26000</v>
      </c>
      <c r="AN31" s="66">
        <f>SUM(Employees!AM14:AM15)</f>
        <v>26000</v>
      </c>
      <c r="AO31" s="79">
        <f>SUM(Employees!AN14:AN15)</f>
        <v>26000</v>
      </c>
      <c r="AP31" s="48">
        <f>SUM(Employees!AO14:AO15)</f>
        <v>26000</v>
      </c>
      <c r="AQ31" s="48">
        <f>SUM(Employees!AP14:AP15)</f>
        <v>26000</v>
      </c>
      <c r="AR31" s="48">
        <f>SUM(Employees!AQ14:AQ15)</f>
        <v>26000</v>
      </c>
      <c r="AS31" s="48">
        <f>SUM(Employees!AR14:AR15)</f>
        <v>26000</v>
      </c>
      <c r="AT31" s="48">
        <f>SUM(Employees!AS14:AS15)</f>
        <v>26000</v>
      </c>
      <c r="AU31" s="48">
        <f>SUM(Employees!AT14:AT15)</f>
        <v>26000</v>
      </c>
      <c r="AV31" s="48">
        <f>SUM(Employees!AU14:AU15)</f>
        <v>26000</v>
      </c>
      <c r="AW31" s="48">
        <f>SUM(Employees!AV14:AV15)</f>
        <v>26000</v>
      </c>
      <c r="AX31" s="48">
        <f>SUM(Employees!AW14:AW15)</f>
        <v>26000</v>
      </c>
      <c r="AY31" s="48">
        <f>SUM(Employees!AX14:AX15)</f>
        <v>26000</v>
      </c>
      <c r="AZ31" s="66">
        <f>SUM(Employees!AY14:AY15)</f>
        <v>26000</v>
      </c>
      <c r="BA31" s="48">
        <f>SUM(Employees!AZ14:AZ15)</f>
        <v>26000</v>
      </c>
      <c r="BB31" s="48">
        <f>SUM(Employees!BA14:BA15)</f>
        <v>26000</v>
      </c>
      <c r="BC31" s="48">
        <f>SUM(Employees!BB14:BB15)</f>
        <v>26000</v>
      </c>
      <c r="BD31" s="48">
        <f>SUM(Employees!BC14:BC15)</f>
        <v>26000</v>
      </c>
      <c r="BE31" s="48">
        <f>SUM(Employees!BD14:BD15)</f>
        <v>26000</v>
      </c>
      <c r="BF31" s="48">
        <f>SUM(Employees!BE14:BE15)</f>
        <v>26000</v>
      </c>
      <c r="BG31" s="48">
        <f>SUM(Employees!BF14:BF15)</f>
        <v>26000</v>
      </c>
      <c r="BH31" s="48">
        <f>SUM(Employees!BG14:BG15)</f>
        <v>26000</v>
      </c>
      <c r="BI31" s="48">
        <f>SUM(Employees!BH14:BH15)</f>
        <v>26000</v>
      </c>
      <c r="BJ31" s="48">
        <f>SUM(Employees!BI14:BI15)</f>
        <v>26000</v>
      </c>
      <c r="BK31" s="48">
        <f>SUM(Employees!BJ14:BJ15)</f>
        <v>26000</v>
      </c>
      <c r="BL31" s="66">
        <f>SUM(Employees!BK14:BK15)</f>
        <v>26000</v>
      </c>
    </row>
    <row r="32" spans="3:64" x14ac:dyDescent="0.2">
      <c r="C32" s="2"/>
      <c r="D32" s="3" t="s">
        <v>37</v>
      </c>
      <c r="E32" s="275"/>
      <c r="F32" s="275"/>
      <c r="G32" s="275"/>
      <c r="H32" s="275"/>
      <c r="P32" s="3"/>
      <c r="Q32" s="2"/>
      <c r="AB32" s="3"/>
      <c r="AC32" s="2"/>
      <c r="AN32" s="3"/>
      <c r="AO32" s="2"/>
      <c r="AZ32" s="3"/>
      <c r="BL32" s="3"/>
    </row>
    <row r="33" spans="3:64" x14ac:dyDescent="0.2">
      <c r="C33" s="2"/>
      <c r="D33" s="3" t="s">
        <v>53</v>
      </c>
      <c r="E33" s="269">
        <v>26000</v>
      </c>
      <c r="F33" s="269">
        <v>26000</v>
      </c>
      <c r="G33" s="269">
        <v>26000</v>
      </c>
      <c r="H33" s="269">
        <v>26000</v>
      </c>
      <c r="I33" s="48">
        <f>SUM(Employees!H16:H17)</f>
        <v>26000</v>
      </c>
      <c r="J33" s="48">
        <f>SUM(Employees!I16:I17)</f>
        <v>26000</v>
      </c>
      <c r="K33" s="48">
        <f>SUM(Employees!J16:J17)</f>
        <v>37000</v>
      </c>
      <c r="L33" s="48">
        <f>SUM(Employees!K16:K17)</f>
        <v>37000</v>
      </c>
      <c r="M33" s="48">
        <f>SUM(Employees!L16:L17)</f>
        <v>37000</v>
      </c>
      <c r="N33" s="48">
        <f>SUM(Employees!M16:M17)</f>
        <v>37000</v>
      </c>
      <c r="O33" s="48">
        <f>SUM(Employees!N16:N17)</f>
        <v>37000</v>
      </c>
      <c r="P33" s="66">
        <f>SUM(Employees!O16:O17)</f>
        <v>37000</v>
      </c>
      <c r="Q33" s="79">
        <f>SUM(Employees!P16:P17)</f>
        <v>37000</v>
      </c>
      <c r="R33" s="48">
        <f>SUM(Employees!Q16:Q17)</f>
        <v>37000</v>
      </c>
      <c r="S33" s="48">
        <f>SUM(Employees!R16:R17)</f>
        <v>37000</v>
      </c>
      <c r="T33" s="48">
        <f>SUM(Employees!S16:S17)</f>
        <v>37000</v>
      </c>
      <c r="U33" s="48">
        <f>SUM(Employees!T16:T17)</f>
        <v>37000</v>
      </c>
      <c r="V33" s="48">
        <f>SUM(Employees!U16:U17)</f>
        <v>37000</v>
      </c>
      <c r="W33" s="48">
        <f>SUM(Employees!V16:V17)</f>
        <v>58999.999999999993</v>
      </c>
      <c r="X33" s="48">
        <f>SUM(Employees!W16:W17)</f>
        <v>58999.999999999993</v>
      </c>
      <c r="Y33" s="48">
        <f>SUM(Employees!X16:X17)</f>
        <v>58999.999999999993</v>
      </c>
      <c r="Z33" s="48">
        <f>SUM(Employees!Y16:Y17)</f>
        <v>58999.999999999993</v>
      </c>
      <c r="AA33" s="48">
        <f>SUM(Employees!Z16:Z17)</f>
        <v>58999.999999999993</v>
      </c>
      <c r="AB33" s="66">
        <f>SUM(Employees!AA16:AA17)</f>
        <v>58999.999999999993</v>
      </c>
      <c r="AC33" s="79">
        <f>SUM(Employees!AB16:AB17)</f>
        <v>58999.999999999993</v>
      </c>
      <c r="AD33" s="48">
        <f>SUM(Employees!AC16:AC17)</f>
        <v>58999.999999999993</v>
      </c>
      <c r="AE33" s="48">
        <f>SUM(Employees!AD16:AD17)</f>
        <v>58999.999999999993</v>
      </c>
      <c r="AF33" s="48">
        <f>SUM(Employees!AE16:AE17)</f>
        <v>58999.999999999993</v>
      </c>
      <c r="AG33" s="48">
        <f>SUM(Employees!AF16:AF17)</f>
        <v>58999.999999999993</v>
      </c>
      <c r="AH33" s="48">
        <f>SUM(Employees!AG16:AG17)</f>
        <v>58999.999999999993</v>
      </c>
      <c r="AI33" s="48">
        <f>SUM(Employees!AH16:AH17)</f>
        <v>58999.999999999993</v>
      </c>
      <c r="AJ33" s="48">
        <f>SUM(Employees!AI16:AI17)</f>
        <v>58999.999999999993</v>
      </c>
      <c r="AK33" s="48">
        <f>SUM(Employees!AJ16:AJ17)</f>
        <v>58999.999999999993</v>
      </c>
      <c r="AL33" s="48">
        <f>SUM(Employees!AK16:AK17)</f>
        <v>58999.999999999993</v>
      </c>
      <c r="AM33" s="48">
        <f>SUM(Employees!AL16:AL17)</f>
        <v>58999.999999999993</v>
      </c>
      <c r="AN33" s="66">
        <f>SUM(Employees!AM16:AM17)</f>
        <v>58999.999999999993</v>
      </c>
      <c r="AO33" s="79">
        <f>SUM(Employees!AN16:AN17)</f>
        <v>58999.999999999993</v>
      </c>
      <c r="AP33" s="48">
        <f>SUM(Employees!AO16:AO17)</f>
        <v>58999.999999999993</v>
      </c>
      <c r="AQ33" s="48">
        <f>SUM(Employees!AP16:AP17)</f>
        <v>58999.999999999993</v>
      </c>
      <c r="AR33" s="48">
        <f>SUM(Employees!AQ16:AQ17)</f>
        <v>58999.999999999993</v>
      </c>
      <c r="AS33" s="48">
        <f>SUM(Employees!AR16:AR17)</f>
        <v>58999.999999999993</v>
      </c>
      <c r="AT33" s="48">
        <f>SUM(Employees!AS16:AS17)</f>
        <v>58999.999999999993</v>
      </c>
      <c r="AU33" s="48">
        <f>SUM(Employees!AT16:AT17)</f>
        <v>58999.999999999993</v>
      </c>
      <c r="AV33" s="48">
        <f>SUM(Employees!AU16:AU17)</f>
        <v>58999.999999999993</v>
      </c>
      <c r="AW33" s="48">
        <f>SUM(Employees!AV16:AV17)</f>
        <v>58999.999999999993</v>
      </c>
      <c r="AX33" s="48">
        <f>SUM(Employees!AW16:AW17)</f>
        <v>58999.999999999993</v>
      </c>
      <c r="AY33" s="48">
        <f>SUM(Employees!AX16:AX17)</f>
        <v>58999.999999999993</v>
      </c>
      <c r="AZ33" s="66">
        <f>SUM(Employees!AY16:AY17)</f>
        <v>58999.999999999993</v>
      </c>
      <c r="BA33" s="48">
        <f>SUM(Employees!AZ16:AZ17)</f>
        <v>58999.999999999993</v>
      </c>
      <c r="BB33" s="48">
        <f>SUM(Employees!BA16:BA17)</f>
        <v>58999.999999999993</v>
      </c>
      <c r="BC33" s="48">
        <f>SUM(Employees!BB16:BB17)</f>
        <v>58999.999999999993</v>
      </c>
      <c r="BD33" s="48">
        <f>SUM(Employees!BC16:BC17)</f>
        <v>58999.999999999993</v>
      </c>
      <c r="BE33" s="48">
        <f>SUM(Employees!BD16:BD17)</f>
        <v>58999.999999999993</v>
      </c>
      <c r="BF33" s="48">
        <f>SUM(Employees!BE16:BE17)</f>
        <v>58999.999999999993</v>
      </c>
      <c r="BG33" s="48">
        <f>SUM(Employees!BF16:BF17)</f>
        <v>58999.999999999993</v>
      </c>
      <c r="BH33" s="48">
        <f>SUM(Employees!BG16:BG17)</f>
        <v>58999.999999999993</v>
      </c>
      <c r="BI33" s="48">
        <f>SUM(Employees!BH16:BH17)</f>
        <v>58999.999999999993</v>
      </c>
      <c r="BJ33" s="48">
        <f>SUM(Employees!BI16:BI17)</f>
        <v>58999.999999999993</v>
      </c>
      <c r="BK33" s="48">
        <f>SUM(Employees!BJ16:BJ17)</f>
        <v>58999.999999999993</v>
      </c>
      <c r="BL33" s="66">
        <f>SUM(Employees!BK16:BK17)</f>
        <v>58999.999999999993</v>
      </c>
    </row>
    <row r="34" spans="3:64" x14ac:dyDescent="0.2">
      <c r="C34" s="2"/>
      <c r="D34" s="3" t="s">
        <v>38</v>
      </c>
      <c r="E34" s="269">
        <v>245</v>
      </c>
      <c r="F34" s="269">
        <v>564</v>
      </c>
      <c r="G34" s="269">
        <v>435</v>
      </c>
      <c r="H34" s="269">
        <v>512</v>
      </c>
      <c r="I34" s="48">
        <f t="shared" ref="I34:AJ34" si="10">I43*TechCostPerEEPerMonth</f>
        <v>360</v>
      </c>
      <c r="J34" s="48">
        <f t="shared" si="10"/>
        <v>360</v>
      </c>
      <c r="K34" s="48">
        <f t="shared" si="10"/>
        <v>470</v>
      </c>
      <c r="L34" s="48">
        <f t="shared" si="10"/>
        <v>470</v>
      </c>
      <c r="M34" s="48">
        <f t="shared" si="10"/>
        <v>470</v>
      </c>
      <c r="N34" s="48">
        <f t="shared" si="10"/>
        <v>470</v>
      </c>
      <c r="O34" s="48">
        <f t="shared" si="10"/>
        <v>480</v>
      </c>
      <c r="P34" s="66">
        <f t="shared" si="10"/>
        <v>480</v>
      </c>
      <c r="Q34" s="79">
        <f t="shared" si="10"/>
        <v>580</v>
      </c>
      <c r="R34" s="48">
        <f t="shared" si="10"/>
        <v>580</v>
      </c>
      <c r="S34" s="48">
        <f t="shared" si="10"/>
        <v>590</v>
      </c>
      <c r="T34" s="48">
        <f t="shared" si="10"/>
        <v>590</v>
      </c>
      <c r="U34" s="48">
        <f t="shared" si="10"/>
        <v>590</v>
      </c>
      <c r="V34" s="48">
        <f t="shared" si="10"/>
        <v>590</v>
      </c>
      <c r="W34" s="48">
        <f t="shared" si="10"/>
        <v>800</v>
      </c>
      <c r="X34" s="48">
        <f t="shared" si="10"/>
        <v>800</v>
      </c>
      <c r="Y34" s="48">
        <f t="shared" si="10"/>
        <v>800</v>
      </c>
      <c r="Z34" s="48">
        <f t="shared" si="10"/>
        <v>800</v>
      </c>
      <c r="AA34" s="48">
        <f t="shared" si="10"/>
        <v>810</v>
      </c>
      <c r="AB34" s="66">
        <f t="shared" si="10"/>
        <v>810</v>
      </c>
      <c r="AC34" s="79">
        <f t="shared" si="10"/>
        <v>810</v>
      </c>
      <c r="AD34" s="48">
        <f t="shared" si="10"/>
        <v>810</v>
      </c>
      <c r="AE34" s="48">
        <f t="shared" si="10"/>
        <v>810</v>
      </c>
      <c r="AF34" s="48">
        <f t="shared" si="10"/>
        <v>819.99999999999989</v>
      </c>
      <c r="AG34" s="48">
        <f t="shared" si="10"/>
        <v>819.99999999999989</v>
      </c>
      <c r="AH34" s="48">
        <f t="shared" si="10"/>
        <v>819.99999999999989</v>
      </c>
      <c r="AI34" s="48">
        <f t="shared" si="10"/>
        <v>819.99999999999989</v>
      </c>
      <c r="AJ34" s="48">
        <f t="shared" si="10"/>
        <v>819.99999999999989</v>
      </c>
      <c r="AK34" s="48">
        <f t="shared" ref="AK34:BL34" si="11">AK43*TechCostPerEEPerMonth</f>
        <v>819.99999999999989</v>
      </c>
      <c r="AL34" s="48">
        <f t="shared" si="11"/>
        <v>830.00000000000011</v>
      </c>
      <c r="AM34" s="48">
        <f t="shared" si="11"/>
        <v>830.00000000000011</v>
      </c>
      <c r="AN34" s="66">
        <f t="shared" si="11"/>
        <v>830.00000000000011</v>
      </c>
      <c r="AO34" s="79">
        <f t="shared" si="11"/>
        <v>830.00000000000011</v>
      </c>
      <c r="AP34" s="48">
        <f t="shared" si="11"/>
        <v>830.00000000000011</v>
      </c>
      <c r="AQ34" s="48">
        <f t="shared" si="11"/>
        <v>830.00000000000011</v>
      </c>
      <c r="AR34" s="48">
        <f t="shared" si="11"/>
        <v>840</v>
      </c>
      <c r="AS34" s="48">
        <f t="shared" si="11"/>
        <v>840</v>
      </c>
      <c r="AT34" s="48">
        <f t="shared" si="11"/>
        <v>840</v>
      </c>
      <c r="AU34" s="48">
        <f t="shared" si="11"/>
        <v>840</v>
      </c>
      <c r="AV34" s="48">
        <f t="shared" si="11"/>
        <v>840</v>
      </c>
      <c r="AW34" s="48">
        <f t="shared" si="11"/>
        <v>840</v>
      </c>
      <c r="AX34" s="48">
        <f t="shared" si="11"/>
        <v>840</v>
      </c>
      <c r="AY34" s="48">
        <f t="shared" si="11"/>
        <v>850</v>
      </c>
      <c r="AZ34" s="66">
        <f t="shared" si="11"/>
        <v>850</v>
      </c>
      <c r="BA34" s="48">
        <f t="shared" si="11"/>
        <v>850</v>
      </c>
      <c r="BB34" s="48">
        <f t="shared" si="11"/>
        <v>850</v>
      </c>
      <c r="BC34" s="48">
        <f t="shared" si="11"/>
        <v>850</v>
      </c>
      <c r="BD34" s="48">
        <f t="shared" si="11"/>
        <v>850</v>
      </c>
      <c r="BE34" s="48">
        <f t="shared" si="11"/>
        <v>860</v>
      </c>
      <c r="BF34" s="48">
        <f t="shared" si="11"/>
        <v>860</v>
      </c>
      <c r="BG34" s="48">
        <f t="shared" si="11"/>
        <v>860</v>
      </c>
      <c r="BH34" s="48">
        <f t="shared" si="11"/>
        <v>860</v>
      </c>
      <c r="BI34" s="48">
        <f t="shared" si="11"/>
        <v>860</v>
      </c>
      <c r="BJ34" s="48">
        <f t="shared" si="11"/>
        <v>860</v>
      </c>
      <c r="BK34" s="48">
        <f t="shared" si="11"/>
        <v>869.99999999999989</v>
      </c>
      <c r="BL34" s="66">
        <f t="shared" si="11"/>
        <v>869.99999999999989</v>
      </c>
    </row>
    <row r="35" spans="3:64" x14ac:dyDescent="0.2">
      <c r="C35" s="2"/>
      <c r="D35" s="3" t="s">
        <v>39</v>
      </c>
      <c r="E35" s="269">
        <v>2387</v>
      </c>
      <c r="F35" s="269">
        <v>1325</v>
      </c>
      <c r="G35" s="269">
        <v>453</v>
      </c>
      <c r="H35" s="269">
        <v>872</v>
      </c>
      <c r="I35" s="48">
        <f t="shared" ref="I35:AJ35" si="12">LegalPerMonth</f>
        <v>1000</v>
      </c>
      <c r="J35" s="48">
        <f t="shared" si="12"/>
        <v>1000</v>
      </c>
      <c r="K35" s="48">
        <f t="shared" si="12"/>
        <v>1000</v>
      </c>
      <c r="L35" s="48">
        <f t="shared" si="12"/>
        <v>1000</v>
      </c>
      <c r="M35" s="48">
        <f t="shared" si="12"/>
        <v>1000</v>
      </c>
      <c r="N35" s="48">
        <f t="shared" si="12"/>
        <v>1000</v>
      </c>
      <c r="O35" s="48">
        <f t="shared" si="12"/>
        <v>1000</v>
      </c>
      <c r="P35" s="66">
        <f t="shared" si="12"/>
        <v>1000</v>
      </c>
      <c r="Q35" s="79">
        <f t="shared" si="12"/>
        <v>1000</v>
      </c>
      <c r="R35" s="48">
        <f t="shared" si="12"/>
        <v>1000</v>
      </c>
      <c r="S35" s="48">
        <f t="shared" si="12"/>
        <v>1000</v>
      </c>
      <c r="T35" s="48">
        <f t="shared" si="12"/>
        <v>1000</v>
      </c>
      <c r="U35" s="48">
        <f t="shared" si="12"/>
        <v>1000</v>
      </c>
      <c r="V35" s="48">
        <f t="shared" si="12"/>
        <v>1000</v>
      </c>
      <c r="W35" s="48">
        <f t="shared" si="12"/>
        <v>1000</v>
      </c>
      <c r="X35" s="48">
        <f t="shared" si="12"/>
        <v>1000</v>
      </c>
      <c r="Y35" s="48">
        <f t="shared" si="12"/>
        <v>1000</v>
      </c>
      <c r="Z35" s="48">
        <f t="shared" si="12"/>
        <v>1000</v>
      </c>
      <c r="AA35" s="48">
        <f t="shared" si="12"/>
        <v>1000</v>
      </c>
      <c r="AB35" s="66">
        <f t="shared" si="12"/>
        <v>1000</v>
      </c>
      <c r="AC35" s="79">
        <f t="shared" si="12"/>
        <v>1000</v>
      </c>
      <c r="AD35" s="48">
        <f t="shared" si="12"/>
        <v>1000</v>
      </c>
      <c r="AE35" s="48">
        <f t="shared" si="12"/>
        <v>1000</v>
      </c>
      <c r="AF35" s="48">
        <f t="shared" si="12"/>
        <v>1000</v>
      </c>
      <c r="AG35" s="48">
        <f t="shared" si="12"/>
        <v>1000</v>
      </c>
      <c r="AH35" s="48">
        <f t="shared" si="12"/>
        <v>1000</v>
      </c>
      <c r="AI35" s="48">
        <f t="shared" si="12"/>
        <v>1000</v>
      </c>
      <c r="AJ35" s="48">
        <f t="shared" si="12"/>
        <v>1000</v>
      </c>
      <c r="AK35" s="48">
        <f t="shared" ref="AK35:BL35" si="13">LegalPerMonth</f>
        <v>1000</v>
      </c>
      <c r="AL35" s="48">
        <f t="shared" si="13"/>
        <v>1000</v>
      </c>
      <c r="AM35" s="48">
        <f t="shared" si="13"/>
        <v>1000</v>
      </c>
      <c r="AN35" s="66">
        <f t="shared" si="13"/>
        <v>1000</v>
      </c>
      <c r="AO35" s="79">
        <f t="shared" si="13"/>
        <v>1000</v>
      </c>
      <c r="AP35" s="48">
        <f t="shared" si="13"/>
        <v>1000</v>
      </c>
      <c r="AQ35" s="48">
        <f t="shared" si="13"/>
        <v>1000</v>
      </c>
      <c r="AR35" s="48">
        <f t="shared" si="13"/>
        <v>1000</v>
      </c>
      <c r="AS35" s="48">
        <f t="shared" si="13"/>
        <v>1000</v>
      </c>
      <c r="AT35" s="48">
        <f t="shared" si="13"/>
        <v>1000</v>
      </c>
      <c r="AU35" s="48">
        <f t="shared" si="13"/>
        <v>1000</v>
      </c>
      <c r="AV35" s="48">
        <f t="shared" si="13"/>
        <v>1000</v>
      </c>
      <c r="AW35" s="48">
        <f t="shared" si="13"/>
        <v>1000</v>
      </c>
      <c r="AX35" s="48">
        <f t="shared" si="13"/>
        <v>1000</v>
      </c>
      <c r="AY35" s="48">
        <f t="shared" si="13"/>
        <v>1000</v>
      </c>
      <c r="AZ35" s="66">
        <f t="shared" si="13"/>
        <v>1000</v>
      </c>
      <c r="BA35" s="48">
        <f t="shared" si="13"/>
        <v>1000</v>
      </c>
      <c r="BB35" s="48">
        <f t="shared" si="13"/>
        <v>1000</v>
      </c>
      <c r="BC35" s="48">
        <f t="shared" si="13"/>
        <v>1000</v>
      </c>
      <c r="BD35" s="48">
        <f t="shared" si="13"/>
        <v>1000</v>
      </c>
      <c r="BE35" s="48">
        <f t="shared" si="13"/>
        <v>1000</v>
      </c>
      <c r="BF35" s="48">
        <f t="shared" si="13"/>
        <v>1000</v>
      </c>
      <c r="BG35" s="48">
        <f t="shared" si="13"/>
        <v>1000</v>
      </c>
      <c r="BH35" s="48">
        <f t="shared" si="13"/>
        <v>1000</v>
      </c>
      <c r="BI35" s="48">
        <f t="shared" si="13"/>
        <v>1000</v>
      </c>
      <c r="BJ35" s="48">
        <f t="shared" si="13"/>
        <v>1000</v>
      </c>
      <c r="BK35" s="48">
        <f t="shared" si="13"/>
        <v>1000</v>
      </c>
      <c r="BL35" s="66">
        <f t="shared" si="13"/>
        <v>1000</v>
      </c>
    </row>
    <row r="36" spans="3:64" x14ac:dyDescent="0.2">
      <c r="C36" s="2"/>
      <c r="D36" s="3" t="s">
        <v>40</v>
      </c>
      <c r="E36" s="269">
        <v>0</v>
      </c>
      <c r="F36" s="269">
        <v>2534</v>
      </c>
      <c r="G36" s="269">
        <v>1432</v>
      </c>
      <c r="H36" s="269">
        <v>548</v>
      </c>
      <c r="I36" s="48">
        <f>SUM(Employees!H5:H7)*ExecutiveTravelPerMonth</f>
        <v>1000</v>
      </c>
      <c r="J36" s="48">
        <f>SUM(Employees!I5:I7)*ExecutiveTravelPerMonth</f>
        <v>1000</v>
      </c>
      <c r="K36" s="48">
        <f>SUM(Employees!J5:J7)*ExecutiveTravelPerMonth</f>
        <v>1000</v>
      </c>
      <c r="L36" s="48">
        <f>SUM(Employees!K5:K7)*ExecutiveTravelPerMonth</f>
        <v>1000</v>
      </c>
      <c r="M36" s="48">
        <f>SUM(Employees!L5:L7)*ExecutiveTravelPerMonth</f>
        <v>1000</v>
      </c>
      <c r="N36" s="48">
        <f>SUM(Employees!M5:M7)*ExecutiveTravelPerMonth</f>
        <v>1000</v>
      </c>
      <c r="O36" s="48">
        <f>SUM(Employees!N5:N7)*ExecutiveTravelPerMonth</f>
        <v>1000</v>
      </c>
      <c r="P36" s="66">
        <f>SUM(Employees!O5:O7)*ExecutiveTravelPerMonth</f>
        <v>1000</v>
      </c>
      <c r="Q36" s="79">
        <f>SUM(Employees!P5:P7)*ExecutiveTravelPerMonth</f>
        <v>1500</v>
      </c>
      <c r="R36" s="48">
        <f>SUM(Employees!Q5:Q7)*ExecutiveTravelPerMonth</f>
        <v>1500</v>
      </c>
      <c r="S36" s="48">
        <f>SUM(Employees!R5:R7)*ExecutiveTravelPerMonth</f>
        <v>1500</v>
      </c>
      <c r="T36" s="48">
        <f>SUM(Employees!S5:S7)*ExecutiveTravelPerMonth</f>
        <v>1500</v>
      </c>
      <c r="U36" s="48">
        <f>SUM(Employees!T5:T7)*ExecutiveTravelPerMonth</f>
        <v>1500</v>
      </c>
      <c r="V36" s="48">
        <f>SUM(Employees!U5:U7)*ExecutiveTravelPerMonth</f>
        <v>1500</v>
      </c>
      <c r="W36" s="48">
        <f>SUM(Employees!V5:V7)*ExecutiveTravelPerMonth</f>
        <v>1500</v>
      </c>
      <c r="X36" s="48">
        <f>SUM(Employees!W5:W7)*ExecutiveTravelPerMonth</f>
        <v>1500</v>
      </c>
      <c r="Y36" s="48">
        <f>SUM(Employees!X5:X7)*ExecutiveTravelPerMonth</f>
        <v>1500</v>
      </c>
      <c r="Z36" s="48">
        <f>SUM(Employees!Y5:Y7)*ExecutiveTravelPerMonth</f>
        <v>1500</v>
      </c>
      <c r="AA36" s="48">
        <f>SUM(Employees!Z5:Z7)*ExecutiveTravelPerMonth</f>
        <v>1500</v>
      </c>
      <c r="AB36" s="66">
        <f>SUM(Employees!AA5:AA7)*ExecutiveTravelPerMonth</f>
        <v>1500</v>
      </c>
      <c r="AC36" s="79">
        <f>SUM(Employees!AB5:AB7)*ExecutiveTravelPerMonth</f>
        <v>1500</v>
      </c>
      <c r="AD36" s="48">
        <f>SUM(Employees!AC5:AC7)*ExecutiveTravelPerMonth</f>
        <v>1500</v>
      </c>
      <c r="AE36" s="48">
        <f>SUM(Employees!AD5:AD7)*ExecutiveTravelPerMonth</f>
        <v>1500</v>
      </c>
      <c r="AF36" s="48">
        <f>SUM(Employees!AE5:AE7)*ExecutiveTravelPerMonth</f>
        <v>1500</v>
      </c>
      <c r="AG36" s="48">
        <f>SUM(Employees!AF5:AF7)*ExecutiveTravelPerMonth</f>
        <v>1500</v>
      </c>
      <c r="AH36" s="48">
        <f>SUM(Employees!AG5:AG7)*ExecutiveTravelPerMonth</f>
        <v>1500</v>
      </c>
      <c r="AI36" s="48">
        <f>SUM(Employees!AH5:AH7)*ExecutiveTravelPerMonth</f>
        <v>1500</v>
      </c>
      <c r="AJ36" s="48">
        <f>SUM(Employees!AI5:AI7)*ExecutiveTravelPerMonth</f>
        <v>1500</v>
      </c>
      <c r="AK36" s="48">
        <f>SUM(Employees!AJ5:AJ7)*ExecutiveTravelPerMonth</f>
        <v>1500</v>
      </c>
      <c r="AL36" s="48">
        <f>SUM(Employees!AK5:AK7)*ExecutiveTravelPerMonth</f>
        <v>1500</v>
      </c>
      <c r="AM36" s="48">
        <f>SUM(Employees!AL5:AL7)*ExecutiveTravelPerMonth</f>
        <v>1500</v>
      </c>
      <c r="AN36" s="66">
        <f>SUM(Employees!AM5:AM7)*ExecutiveTravelPerMonth</f>
        <v>1500</v>
      </c>
      <c r="AO36" s="79">
        <f>SUM(Employees!AN5:AN7)*ExecutiveTravelPerMonth</f>
        <v>1500</v>
      </c>
      <c r="AP36" s="48">
        <f>SUM(Employees!AO5:AO7)*ExecutiveTravelPerMonth</f>
        <v>1500</v>
      </c>
      <c r="AQ36" s="48">
        <f>SUM(Employees!AP5:AP7)*ExecutiveTravelPerMonth</f>
        <v>1500</v>
      </c>
      <c r="AR36" s="48">
        <f>SUM(Employees!AQ5:AQ7)*ExecutiveTravelPerMonth</f>
        <v>1500</v>
      </c>
      <c r="AS36" s="48">
        <f>SUM(Employees!AR5:AR7)*ExecutiveTravelPerMonth</f>
        <v>1500</v>
      </c>
      <c r="AT36" s="48">
        <f>SUM(Employees!AS5:AS7)*ExecutiveTravelPerMonth</f>
        <v>1500</v>
      </c>
      <c r="AU36" s="48">
        <f>SUM(Employees!AT5:AT7)*ExecutiveTravelPerMonth</f>
        <v>1500</v>
      </c>
      <c r="AV36" s="48">
        <f>SUM(Employees!AU5:AU7)*ExecutiveTravelPerMonth</f>
        <v>1500</v>
      </c>
      <c r="AW36" s="48">
        <f>SUM(Employees!AV5:AV7)*ExecutiveTravelPerMonth</f>
        <v>1500</v>
      </c>
      <c r="AX36" s="48">
        <f>SUM(Employees!AW5:AW7)*ExecutiveTravelPerMonth</f>
        <v>1500</v>
      </c>
      <c r="AY36" s="48">
        <f>SUM(Employees!AX5:AX7)*ExecutiveTravelPerMonth</f>
        <v>1500</v>
      </c>
      <c r="AZ36" s="66">
        <f>SUM(Employees!AY5:AY7)*ExecutiveTravelPerMonth</f>
        <v>1500</v>
      </c>
      <c r="BA36" s="48">
        <f>SUM(Employees!AZ5:AZ7)*ExecutiveTravelPerMonth</f>
        <v>1500</v>
      </c>
      <c r="BB36" s="48">
        <f>SUM(Employees!BA5:BA7)*ExecutiveTravelPerMonth</f>
        <v>1500</v>
      </c>
      <c r="BC36" s="48">
        <f>SUM(Employees!BB5:BB7)*ExecutiveTravelPerMonth</f>
        <v>1500</v>
      </c>
      <c r="BD36" s="48">
        <f>SUM(Employees!BC5:BC7)*ExecutiveTravelPerMonth</f>
        <v>1500</v>
      </c>
      <c r="BE36" s="48">
        <f>SUM(Employees!BD5:BD7)*ExecutiveTravelPerMonth</f>
        <v>1500</v>
      </c>
      <c r="BF36" s="48">
        <f>SUM(Employees!BE5:BE7)*ExecutiveTravelPerMonth</f>
        <v>1500</v>
      </c>
      <c r="BG36" s="48">
        <f>SUM(Employees!BF5:BF7)*ExecutiveTravelPerMonth</f>
        <v>1500</v>
      </c>
      <c r="BH36" s="48">
        <f>SUM(Employees!BG5:BG7)*ExecutiveTravelPerMonth</f>
        <v>1500</v>
      </c>
      <c r="BI36" s="48">
        <f>SUM(Employees!BH5:BH7)*ExecutiveTravelPerMonth</f>
        <v>1500</v>
      </c>
      <c r="BJ36" s="48">
        <f>SUM(Employees!BI5:BI7)*ExecutiveTravelPerMonth</f>
        <v>1500</v>
      </c>
      <c r="BK36" s="48">
        <f>SUM(Employees!BJ5:BJ7)*ExecutiveTravelPerMonth</f>
        <v>1500</v>
      </c>
      <c r="BL36" s="66">
        <f>SUM(Employees!BK5:BK7)*ExecutiveTravelPerMonth</f>
        <v>1500</v>
      </c>
    </row>
    <row r="37" spans="3:64" x14ac:dyDescent="0.2">
      <c r="C37" s="2"/>
      <c r="D37" s="3" t="s">
        <v>41</v>
      </c>
      <c r="E37" s="275"/>
      <c r="F37" s="275"/>
      <c r="G37" s="275"/>
      <c r="H37" s="275"/>
      <c r="P37" s="3"/>
      <c r="Q37" s="2"/>
      <c r="AB37" s="3"/>
      <c r="AC37" s="2"/>
      <c r="AN37" s="3"/>
      <c r="AO37" s="2"/>
      <c r="AZ37" s="3"/>
      <c r="BL37" s="3"/>
    </row>
    <row r="38" spans="3:64" x14ac:dyDescent="0.2">
      <c r="C38" s="2"/>
      <c r="D38" s="3" t="s">
        <v>42</v>
      </c>
      <c r="E38" s="324"/>
      <c r="F38" s="320"/>
      <c r="G38" s="320"/>
      <c r="H38" s="320"/>
      <c r="I38" s="94"/>
      <c r="J38" s="94"/>
      <c r="K38" s="94"/>
      <c r="L38" s="94"/>
      <c r="M38" s="94"/>
      <c r="N38" s="94"/>
      <c r="O38" s="94"/>
      <c r="P38" s="95"/>
      <c r="Q38" s="96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96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5"/>
      <c r="AO38" s="96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5"/>
    </row>
    <row r="39" spans="3:64" s="1" customFormat="1" x14ac:dyDescent="0.2">
      <c r="C39" s="45"/>
      <c r="D39" s="142" t="s">
        <v>43</v>
      </c>
      <c r="E39" s="273">
        <f>SUM(E31:E38)</f>
        <v>40632</v>
      </c>
      <c r="F39" s="273">
        <f t="shared" ref="F39:BL39" si="14">SUM(F31:F38)</f>
        <v>42423</v>
      </c>
      <c r="G39" s="273">
        <f t="shared" si="14"/>
        <v>40320</v>
      </c>
      <c r="H39" s="273">
        <f t="shared" si="14"/>
        <v>39932</v>
      </c>
      <c r="I39" s="46">
        <f t="shared" si="14"/>
        <v>40360</v>
      </c>
      <c r="J39" s="46">
        <f t="shared" si="14"/>
        <v>40360</v>
      </c>
      <c r="K39" s="46">
        <f t="shared" si="14"/>
        <v>51470</v>
      </c>
      <c r="L39" s="46">
        <f t="shared" si="14"/>
        <v>51470</v>
      </c>
      <c r="M39" s="46">
        <f t="shared" si="14"/>
        <v>51470</v>
      </c>
      <c r="N39" s="46">
        <f t="shared" si="14"/>
        <v>51470</v>
      </c>
      <c r="O39" s="46">
        <f t="shared" si="14"/>
        <v>51480</v>
      </c>
      <c r="P39" s="74">
        <f t="shared" si="14"/>
        <v>51480</v>
      </c>
      <c r="Q39" s="73">
        <f t="shared" si="14"/>
        <v>66080</v>
      </c>
      <c r="R39" s="46">
        <f t="shared" si="14"/>
        <v>66080</v>
      </c>
      <c r="S39" s="46">
        <f t="shared" si="14"/>
        <v>66090</v>
      </c>
      <c r="T39" s="46">
        <f t="shared" si="14"/>
        <v>66090</v>
      </c>
      <c r="U39" s="46">
        <f t="shared" si="14"/>
        <v>66090</v>
      </c>
      <c r="V39" s="46">
        <f t="shared" si="14"/>
        <v>66090</v>
      </c>
      <c r="W39" s="46">
        <f t="shared" si="14"/>
        <v>88300</v>
      </c>
      <c r="X39" s="46">
        <f t="shared" si="14"/>
        <v>88300</v>
      </c>
      <c r="Y39" s="46">
        <f t="shared" si="14"/>
        <v>88300</v>
      </c>
      <c r="Z39" s="46">
        <f t="shared" si="14"/>
        <v>88300</v>
      </c>
      <c r="AA39" s="46">
        <f t="shared" si="14"/>
        <v>88310</v>
      </c>
      <c r="AB39" s="74">
        <f t="shared" si="14"/>
        <v>88310</v>
      </c>
      <c r="AC39" s="73">
        <f t="shared" si="14"/>
        <v>88310</v>
      </c>
      <c r="AD39" s="46">
        <f t="shared" si="14"/>
        <v>88310</v>
      </c>
      <c r="AE39" s="46">
        <f t="shared" si="14"/>
        <v>88310</v>
      </c>
      <c r="AF39" s="46">
        <f t="shared" si="14"/>
        <v>88320</v>
      </c>
      <c r="AG39" s="46">
        <f t="shared" si="14"/>
        <v>88320</v>
      </c>
      <c r="AH39" s="46">
        <f t="shared" si="14"/>
        <v>88320</v>
      </c>
      <c r="AI39" s="46">
        <f t="shared" si="14"/>
        <v>88320</v>
      </c>
      <c r="AJ39" s="46">
        <f t="shared" si="14"/>
        <v>88320</v>
      </c>
      <c r="AK39" s="46">
        <f t="shared" si="14"/>
        <v>88320</v>
      </c>
      <c r="AL39" s="46">
        <f t="shared" si="14"/>
        <v>88330</v>
      </c>
      <c r="AM39" s="46">
        <f t="shared" si="14"/>
        <v>88330</v>
      </c>
      <c r="AN39" s="74">
        <f t="shared" si="14"/>
        <v>88330</v>
      </c>
      <c r="AO39" s="73">
        <f t="shared" si="14"/>
        <v>88330</v>
      </c>
      <c r="AP39" s="46">
        <f t="shared" si="14"/>
        <v>88330</v>
      </c>
      <c r="AQ39" s="46">
        <f t="shared" si="14"/>
        <v>88330</v>
      </c>
      <c r="AR39" s="46">
        <f t="shared" si="14"/>
        <v>88340</v>
      </c>
      <c r="AS39" s="46">
        <f t="shared" si="14"/>
        <v>88340</v>
      </c>
      <c r="AT39" s="46">
        <f t="shared" si="14"/>
        <v>88340</v>
      </c>
      <c r="AU39" s="46">
        <f t="shared" si="14"/>
        <v>88340</v>
      </c>
      <c r="AV39" s="46">
        <f t="shared" si="14"/>
        <v>88340</v>
      </c>
      <c r="AW39" s="46">
        <f t="shared" si="14"/>
        <v>88340</v>
      </c>
      <c r="AX39" s="46">
        <f t="shared" si="14"/>
        <v>88340</v>
      </c>
      <c r="AY39" s="46">
        <f t="shared" si="14"/>
        <v>88350</v>
      </c>
      <c r="AZ39" s="74">
        <f t="shared" si="14"/>
        <v>88350</v>
      </c>
      <c r="BA39" s="46">
        <f t="shared" si="14"/>
        <v>88350</v>
      </c>
      <c r="BB39" s="46">
        <f t="shared" si="14"/>
        <v>88350</v>
      </c>
      <c r="BC39" s="46">
        <f t="shared" si="14"/>
        <v>88350</v>
      </c>
      <c r="BD39" s="46">
        <f t="shared" si="14"/>
        <v>88350</v>
      </c>
      <c r="BE39" s="46">
        <f t="shared" si="14"/>
        <v>88360</v>
      </c>
      <c r="BF39" s="46">
        <f t="shared" si="14"/>
        <v>88360</v>
      </c>
      <c r="BG39" s="46">
        <f t="shared" si="14"/>
        <v>88360</v>
      </c>
      <c r="BH39" s="46">
        <f t="shared" si="14"/>
        <v>88360</v>
      </c>
      <c r="BI39" s="46">
        <f t="shared" si="14"/>
        <v>88360</v>
      </c>
      <c r="BJ39" s="46">
        <f t="shared" si="14"/>
        <v>88360</v>
      </c>
      <c r="BK39" s="46">
        <f t="shared" si="14"/>
        <v>88370</v>
      </c>
      <c r="BL39" s="74">
        <f t="shared" si="14"/>
        <v>88370</v>
      </c>
    </row>
    <row r="40" spans="3:64" ht="17" thickBot="1" x14ac:dyDescent="0.25">
      <c r="C40" s="90"/>
      <c r="D40" s="91"/>
      <c r="E40" s="275"/>
      <c r="F40" s="275"/>
      <c r="G40" s="275"/>
      <c r="H40" s="275"/>
      <c r="P40" s="3"/>
      <c r="Q40" s="2"/>
      <c r="AB40" s="3"/>
      <c r="AC40" s="2"/>
      <c r="AN40" s="3"/>
      <c r="AO40" s="2"/>
      <c r="AZ40" s="3"/>
      <c r="BL40" s="3"/>
    </row>
    <row r="41" spans="3:64" s="1" customFormat="1" ht="17" thickBot="1" x14ac:dyDescent="0.25">
      <c r="C41" s="53" t="s">
        <v>22</v>
      </c>
      <c r="D41" s="54"/>
      <c r="E41" s="283">
        <f>E28-E39</f>
        <v>-40632</v>
      </c>
      <c r="F41" s="284">
        <f t="shared" ref="F41:BL41" si="15">F28-F39</f>
        <v>-46173</v>
      </c>
      <c r="G41" s="284">
        <f t="shared" si="15"/>
        <v>-44070</v>
      </c>
      <c r="H41" s="284">
        <f t="shared" si="15"/>
        <v>-67934.597999999998</v>
      </c>
      <c r="I41" s="56">
        <f t="shared" si="15"/>
        <v>-82432.828225000005</v>
      </c>
      <c r="J41" s="56">
        <f t="shared" si="15"/>
        <v>-77830.654482999991</v>
      </c>
      <c r="K41" s="56">
        <f t="shared" si="15"/>
        <v>-85072.226841639989</v>
      </c>
      <c r="L41" s="56">
        <f t="shared" si="15"/>
        <v>-80679.524988971199</v>
      </c>
      <c r="M41" s="56">
        <f t="shared" si="15"/>
        <v>-76391.526988088895</v>
      </c>
      <c r="N41" s="56">
        <f t="shared" si="15"/>
        <v>-72208.209147136004</v>
      </c>
      <c r="O41" s="56">
        <f t="shared" si="15"/>
        <v>-68789.54587890688</v>
      </c>
      <c r="P41" s="77">
        <f t="shared" si="15"/>
        <v>-64815.509549219438</v>
      </c>
      <c r="Q41" s="82">
        <f t="shared" si="15"/>
        <v>-75546.07031315699</v>
      </c>
      <c r="R41" s="56">
        <f t="shared" si="15"/>
        <v>-71739.195938209552</v>
      </c>
      <c r="S41" s="56">
        <f t="shared" si="15"/>
        <v>-68696.851613266321</v>
      </c>
      <c r="T41" s="56">
        <f t="shared" si="15"/>
        <v>-65077.999742327629</v>
      </c>
      <c r="U41" s="56">
        <f t="shared" si="15"/>
        <v>-61542.599721713836</v>
      </c>
      <c r="V41" s="56">
        <f t="shared" si="15"/>
        <v>-58090.607699450942</v>
      </c>
      <c r="W41" s="56">
        <f t="shared" si="15"/>
        <v>-77581.97631540701</v>
      </c>
      <c r="X41" s="56">
        <f t="shared" si="15"/>
        <v>-74296.654420639577</v>
      </c>
      <c r="Y41" s="56">
        <f t="shared" si="15"/>
        <v>-71073.586774290743</v>
      </c>
      <c r="Z41" s="56">
        <f t="shared" si="15"/>
        <v>-67933.713716234008</v>
      </c>
      <c r="AA41" s="56">
        <f t="shared" si="15"/>
        <v>-65515.970813532709</v>
      </c>
      <c r="AB41" s="77">
        <f t="shared" si="15"/>
        <v>-62500.28847861533</v>
      </c>
      <c r="AC41" s="82">
        <f t="shared" si="15"/>
        <v>-59546.591556904561</v>
      </c>
      <c r="AD41" s="56">
        <f t="shared" si="15"/>
        <v>-56654.798881456925</v>
      </c>
      <c r="AE41" s="56">
        <f t="shared" si="15"/>
        <v>-53824.822791973478</v>
      </c>
      <c r="AF41" s="56">
        <f t="shared" si="15"/>
        <v>-51716.568615331344</v>
      </c>
      <c r="AG41" s="56">
        <f t="shared" si="15"/>
        <v>-49009.934104557877</v>
      </c>
      <c r="AH41" s="56">
        <f t="shared" si="15"/>
        <v>-46343.808832922485</v>
      </c>
      <c r="AI41" s="56">
        <f t="shared" si="15"/>
        <v>-43718.07353955631</v>
      </c>
      <c r="AJ41" s="56">
        <f t="shared" si="15"/>
        <v>-41132.599422720814</v>
      </c>
      <c r="AK41" s="56">
        <f t="shared" si="15"/>
        <v>-38629.247376538478</v>
      </c>
      <c r="AL41" s="56">
        <f t="shared" si="15"/>
        <v>-36804.867166661541</v>
      </c>
      <c r="AM41" s="56">
        <f t="shared" si="15"/>
        <v>-34360.296539994481</v>
      </c>
      <c r="AN41" s="77">
        <f t="shared" si="15"/>
        <v>-31955.36026319403</v>
      </c>
      <c r="AO41" s="82">
        <f t="shared" si="15"/>
        <v>-29568.869084249571</v>
      </c>
      <c r="AP41" s="56">
        <f t="shared" si="15"/>
        <v>-27221.618610989535</v>
      </c>
      <c r="AQ41" s="56">
        <f t="shared" si="15"/>
        <v>-24913.388099868695</v>
      </c>
      <c r="AR41" s="56">
        <f t="shared" si="15"/>
        <v>-23261.939147858182</v>
      </c>
      <c r="AS41" s="56">
        <f t="shared" si="15"/>
        <v>-20989.014279686846</v>
      </c>
      <c r="AT41" s="56">
        <f t="shared" si="15"/>
        <v>-18733.335422061777</v>
      </c>
      <c r="AU41" s="56">
        <f t="shared" si="15"/>
        <v>-16473.602255826729</v>
      </c>
      <c r="AV41" s="56">
        <f t="shared" si="15"/>
        <v>-14230.490436292865</v>
      </c>
      <c r="AW41" s="56">
        <f t="shared" si="15"/>
        <v>-12003.649671196297</v>
      </c>
      <c r="AX41" s="56">
        <f t="shared" si="15"/>
        <v>-9771.7016448919894</v>
      </c>
      <c r="AY41" s="56">
        <f t="shared" si="15"/>
        <v>-8194.2377764833509</v>
      </c>
      <c r="AZ41" s="77">
        <f t="shared" si="15"/>
        <v>-5950.816798601998</v>
      </c>
      <c r="BA41" s="56">
        <f t="shared" si="15"/>
        <v>-3700.9621424901998</v>
      </c>
      <c r="BB41" s="56">
        <f t="shared" si="15"/>
        <v>-1402.1591138893855</v>
      </c>
      <c r="BC41" s="56">
        <f t="shared" si="15"/>
        <v>904.14815699943574</v>
      </c>
      <c r="BD41" s="56">
        <f t="shared" si="15"/>
        <v>3239.5600095593836</v>
      </c>
      <c r="BE41" s="56">
        <f t="shared" si="15"/>
        <v>4965.7248103241436</v>
      </c>
      <c r="BF41" s="56">
        <f t="shared" si="15"/>
        <v>7382.3427951500635</v>
      </c>
      <c r="BG41" s="56">
        <f t="shared" si="15"/>
        <v>9830.1702187620685</v>
      </c>
      <c r="BH41" s="56">
        <f t="shared" si="15"/>
        <v>12352.023836263106</v>
      </c>
      <c r="BI41" s="56">
        <f t="shared" si="15"/>
        <v>14948.785743164102</v>
      </c>
      <c r="BJ41" s="56">
        <f t="shared" si="15"/>
        <v>17621.408602617274</v>
      </c>
      <c r="BK41" s="56">
        <f t="shared" si="15"/>
        <v>19710.921290826635</v>
      </c>
      <c r="BL41" s="77">
        <f t="shared" si="15"/>
        <v>22559.434994092735</v>
      </c>
    </row>
    <row r="42" spans="3:64" x14ac:dyDescent="0.2">
      <c r="C42" s="1"/>
      <c r="D42" s="1"/>
    </row>
    <row r="43" spans="3:64" s="31" customFormat="1" x14ac:dyDescent="0.2">
      <c r="C43" s="36"/>
      <c r="D43" s="31" t="s">
        <v>44</v>
      </c>
      <c r="E43" s="31">
        <f>SUM(Employees!D5:D10)</f>
        <v>3</v>
      </c>
      <c r="F43" s="31">
        <f>SUM(Employees!E5:E10)</f>
        <v>3.5</v>
      </c>
      <c r="G43" s="31">
        <f>SUM(Employees!F5:F10)</f>
        <v>3.5</v>
      </c>
      <c r="H43" s="31">
        <f>SUM(Employees!G5:G10)</f>
        <v>3.5</v>
      </c>
      <c r="I43" s="31">
        <f>SUM(Employees!H5:H10)</f>
        <v>3.6</v>
      </c>
      <c r="J43" s="31">
        <f>SUM(Employees!I5:I10)</f>
        <v>3.6</v>
      </c>
      <c r="K43" s="31">
        <f>SUM(Employees!J5:J10)</f>
        <v>4.7</v>
      </c>
      <c r="L43" s="31">
        <f>SUM(Employees!K5:K10)</f>
        <v>4.7</v>
      </c>
      <c r="M43" s="31">
        <f>SUM(Employees!L5:L10)</f>
        <v>4.7</v>
      </c>
      <c r="N43" s="31">
        <f>SUM(Employees!M5:M10)</f>
        <v>4.7</v>
      </c>
      <c r="O43" s="31">
        <f>SUM(Employees!N5:N10)</f>
        <v>4.8</v>
      </c>
      <c r="P43" s="31">
        <f>SUM(Employees!O5:O10)</f>
        <v>4.8</v>
      </c>
      <c r="Q43" s="31">
        <f>SUM(Employees!P5:P10)</f>
        <v>5.8</v>
      </c>
      <c r="R43" s="31">
        <f>SUM(Employees!Q5:Q10)</f>
        <v>5.8</v>
      </c>
      <c r="S43" s="31">
        <f>SUM(Employees!R5:R10)</f>
        <v>5.9</v>
      </c>
      <c r="T43" s="31">
        <f>SUM(Employees!S5:S10)</f>
        <v>5.9</v>
      </c>
      <c r="U43" s="31">
        <f>SUM(Employees!T5:T10)</f>
        <v>5.9</v>
      </c>
      <c r="V43" s="31">
        <f>SUM(Employees!U5:U10)</f>
        <v>5.9</v>
      </c>
      <c r="W43" s="31">
        <f>SUM(Employees!V5:V10)</f>
        <v>8</v>
      </c>
      <c r="X43" s="31">
        <f>SUM(Employees!W5:W10)</f>
        <v>8</v>
      </c>
      <c r="Y43" s="31">
        <f>SUM(Employees!X5:X10)</f>
        <v>8</v>
      </c>
      <c r="Z43" s="31">
        <f>SUM(Employees!Y5:Y10)</f>
        <v>8</v>
      </c>
      <c r="AA43" s="31">
        <f>SUM(Employees!Z5:Z10)</f>
        <v>8.1</v>
      </c>
      <c r="AB43" s="31">
        <f>SUM(Employees!AA5:AA10)</f>
        <v>8.1</v>
      </c>
      <c r="AC43" s="31">
        <f>SUM(Employees!AB5:AB10)</f>
        <v>8.1</v>
      </c>
      <c r="AD43" s="31">
        <f>SUM(Employees!AC5:AC10)</f>
        <v>8.1</v>
      </c>
      <c r="AE43" s="31">
        <f>SUM(Employees!AD5:AD10)</f>
        <v>8.1</v>
      </c>
      <c r="AF43" s="31">
        <f>SUM(Employees!AE5:AE10)</f>
        <v>8.1999999999999993</v>
      </c>
      <c r="AG43" s="31">
        <f>SUM(Employees!AF5:AF10)</f>
        <v>8.1999999999999993</v>
      </c>
      <c r="AH43" s="31">
        <f>SUM(Employees!AG5:AG10)</f>
        <v>8.1999999999999993</v>
      </c>
      <c r="AI43" s="31">
        <f>SUM(Employees!AH5:AH10)</f>
        <v>8.1999999999999993</v>
      </c>
      <c r="AJ43" s="31">
        <f>SUM(Employees!AI5:AI10)</f>
        <v>8.1999999999999993</v>
      </c>
      <c r="AK43" s="31">
        <f>SUM(Employees!AJ5:AJ10)</f>
        <v>8.1999999999999993</v>
      </c>
      <c r="AL43" s="31">
        <f>SUM(Employees!AK5:AK10)</f>
        <v>8.3000000000000007</v>
      </c>
      <c r="AM43" s="31">
        <f>SUM(Employees!AL5:AL10)</f>
        <v>8.3000000000000007</v>
      </c>
      <c r="AN43" s="31">
        <f>SUM(Employees!AM5:AM10)</f>
        <v>8.3000000000000007</v>
      </c>
      <c r="AO43" s="31">
        <f>SUM(Employees!AN5:AN10)</f>
        <v>8.3000000000000007</v>
      </c>
      <c r="AP43" s="31">
        <f>SUM(Employees!AO5:AO10)</f>
        <v>8.3000000000000007</v>
      </c>
      <c r="AQ43" s="31">
        <f>SUM(Employees!AP5:AP10)</f>
        <v>8.3000000000000007</v>
      </c>
      <c r="AR43" s="31">
        <f>SUM(Employees!AQ5:AQ10)</f>
        <v>8.4</v>
      </c>
      <c r="AS43" s="31">
        <f>SUM(Employees!AR5:AR10)</f>
        <v>8.4</v>
      </c>
      <c r="AT43" s="31">
        <f>SUM(Employees!AS5:AS10)</f>
        <v>8.4</v>
      </c>
      <c r="AU43" s="31">
        <f>SUM(Employees!AT5:AT10)</f>
        <v>8.4</v>
      </c>
      <c r="AV43" s="31">
        <f>SUM(Employees!AU5:AU10)</f>
        <v>8.4</v>
      </c>
      <c r="AW43" s="31">
        <f>SUM(Employees!AV5:AV10)</f>
        <v>8.4</v>
      </c>
      <c r="AX43" s="31">
        <f>SUM(Employees!AW5:AW10)</f>
        <v>8.4</v>
      </c>
      <c r="AY43" s="31">
        <f>SUM(Employees!AX5:AX10)</f>
        <v>8.5</v>
      </c>
      <c r="AZ43" s="31">
        <f>SUM(Employees!AY5:AY10)</f>
        <v>8.5</v>
      </c>
      <c r="BA43" s="31">
        <f>SUM(Employees!AZ5:AZ10)</f>
        <v>8.5</v>
      </c>
      <c r="BB43" s="31">
        <f>SUM(Employees!BA5:BA10)</f>
        <v>8.5</v>
      </c>
      <c r="BC43" s="31">
        <f>SUM(Employees!BB5:BB10)</f>
        <v>8.5</v>
      </c>
      <c r="BD43" s="31">
        <f>SUM(Employees!BC5:BC10)</f>
        <v>8.5</v>
      </c>
      <c r="BE43" s="31">
        <f>SUM(Employees!BD5:BD10)</f>
        <v>8.6</v>
      </c>
      <c r="BF43" s="31">
        <f>SUM(Employees!BE5:BE10)</f>
        <v>8.6</v>
      </c>
      <c r="BG43" s="31">
        <f>SUM(Employees!BF5:BF10)</f>
        <v>8.6</v>
      </c>
      <c r="BH43" s="31">
        <f>SUM(Employees!BG5:BG10)</f>
        <v>8.6</v>
      </c>
      <c r="BI43" s="31">
        <f>SUM(Employees!BH5:BH10)</f>
        <v>8.6</v>
      </c>
      <c r="BJ43" s="31">
        <f>SUM(Employees!BI5:BI10)</f>
        <v>8.6</v>
      </c>
      <c r="BK43" s="31">
        <f>SUM(Employees!BJ5:BJ10)</f>
        <v>8.6999999999999993</v>
      </c>
      <c r="BL43" s="31">
        <f>SUM(Employees!BK5:BK10)</f>
        <v>8.6999999999999993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C467-2528-1946-AB79-18DE4122DAF6}">
  <dimension ref="A2:BJ49"/>
  <sheetViews>
    <sheetView zoomScale="180" zoomScaleNormal="180" workbookViewId="0">
      <pane xSplit="3" ySplit="4" topLeftCell="D20" activePane="bottomRight" state="frozen"/>
      <selection activeCell="H9" sqref="H9"/>
      <selection pane="topRight" activeCell="H9" sqref="H9"/>
      <selection pane="bottomLeft" activeCell="H9" sqref="H9"/>
      <selection pane="bottomRight" activeCell="H42" sqref="H42"/>
    </sheetView>
    <sheetView workbookViewId="1"/>
  </sheetViews>
  <sheetFormatPr baseColWidth="10" defaultRowHeight="16" x14ac:dyDescent="0.2"/>
  <cols>
    <col min="1" max="1" width="1.83203125" customWidth="1"/>
    <col min="2" max="2" width="2.33203125" customWidth="1"/>
    <col min="3" max="3" width="29.33203125" customWidth="1"/>
    <col min="4" max="8" width="25.33203125" customWidth="1"/>
    <col min="9" max="16" width="15.5" customWidth="1"/>
  </cols>
  <sheetData>
    <row r="2" spans="2:15" ht="20" customHeight="1" x14ac:dyDescent="0.25">
      <c r="C2" s="35" t="s">
        <v>219</v>
      </c>
    </row>
    <row r="3" spans="2:15" ht="20" thickBot="1" x14ac:dyDescent="0.3">
      <c r="C3" s="35"/>
    </row>
    <row r="4" spans="2:15" s="15" customFormat="1" ht="17" thickBot="1" x14ac:dyDescent="0.25">
      <c r="B4" s="64"/>
      <c r="C4" s="65"/>
      <c r="D4" s="58">
        <v>2024</v>
      </c>
      <c r="E4" s="59">
        <f>D4+1</f>
        <v>2025</v>
      </c>
      <c r="F4" s="59">
        <f>E4+1</f>
        <v>2026</v>
      </c>
      <c r="G4" s="59">
        <f>F4+1</f>
        <v>2027</v>
      </c>
      <c r="H4" s="134">
        <f>G4+1</f>
        <v>2028</v>
      </c>
    </row>
    <row r="5" spans="2:15" s="19" customFormat="1" x14ac:dyDescent="0.2">
      <c r="B5" s="140" t="str">
        <f>'E-Commerce P&amp;L'!C5</f>
        <v>Revenue</v>
      </c>
      <c r="C5" s="141"/>
      <c r="D5" s="133"/>
      <c r="E5" s="130"/>
      <c r="F5" s="130"/>
      <c r="G5" s="130"/>
      <c r="H5" s="131"/>
    </row>
    <row r="6" spans="2:15" x14ac:dyDescent="0.2">
      <c r="B6" s="45"/>
      <c r="C6" s="3" t="s">
        <v>55</v>
      </c>
      <c r="D6" s="79">
        <f>SUM('Income Statement - Monthly'!D6:O6)</f>
        <v>499059.08069164259</v>
      </c>
      <c r="E6" s="48">
        <f>SUM('Income Statement - Monthly'!P6:AA6)</f>
        <v>553314.12103746401</v>
      </c>
      <c r="F6" s="48">
        <f>SUM('Income Statement - Monthly'!AB6:AM6)</f>
        <v>0</v>
      </c>
      <c r="G6" s="48">
        <f>SUM('Income Statement - Monthly'!AN6:AY6)</f>
        <v>0</v>
      </c>
      <c r="H6" s="66">
        <f>SUM('Income Statement - Monthly'!AZ6:BK6)</f>
        <v>0</v>
      </c>
    </row>
    <row r="7" spans="2:15" x14ac:dyDescent="0.2">
      <c r="B7" s="2"/>
      <c r="C7" s="3" t="s">
        <v>26</v>
      </c>
      <c r="D7" s="79">
        <f>SUM('Income Statement - Monthly'!D7:O7)</f>
        <v>309610</v>
      </c>
      <c r="E7" s="48">
        <f>SUM('Income Statement - Monthly'!P7:AA7)</f>
        <v>1213275</v>
      </c>
      <c r="F7" s="48">
        <f>SUM('Income Statement - Monthly'!AB7:AM7)</f>
        <v>1924580</v>
      </c>
      <c r="G7" s="48">
        <f>SUM('Income Statement - Monthly'!AN7:AY7)</f>
        <v>2494975</v>
      </c>
      <c r="H7" s="66">
        <f>SUM('Income Statement - Monthly'!AZ7:BK7)</f>
        <v>3030790</v>
      </c>
      <c r="I7" s="17"/>
      <c r="J7" s="17"/>
      <c r="K7" s="17"/>
      <c r="L7" s="17"/>
      <c r="M7" s="17"/>
      <c r="N7" s="17"/>
      <c r="O7" s="17"/>
    </row>
    <row r="8" spans="2:15" s="1" customFormat="1" x14ac:dyDescent="0.2">
      <c r="B8" s="2"/>
      <c r="C8" s="3" t="s">
        <v>27</v>
      </c>
      <c r="D8" s="79">
        <f>SUM('Income Statement - Monthly'!D8:O8)</f>
        <v>63868.270612365486</v>
      </c>
      <c r="E8" s="48">
        <f>SUM('Income Statement - Monthly'!P8:AA8)</f>
        <v>90583.822235623578</v>
      </c>
      <c r="F8" s="48">
        <f>SUM('Income Statement - Monthly'!AB8:AM8)</f>
        <v>93838.509089519386</v>
      </c>
      <c r="G8" s="48">
        <f>SUM('Income Statement - Monthly'!AN8:AY8)</f>
        <v>102034.36426460335</v>
      </c>
      <c r="H8" s="66">
        <f>SUM('Income Statement - Monthly'!AZ8:BK8)</f>
        <v>122672.92184827603</v>
      </c>
      <c r="I8" s="20"/>
      <c r="J8" s="20"/>
      <c r="K8" s="20"/>
      <c r="L8" s="20"/>
      <c r="M8" s="20"/>
      <c r="N8" s="20"/>
      <c r="O8" s="20"/>
    </row>
    <row r="9" spans="2:15" x14ac:dyDescent="0.2">
      <c r="B9" s="2"/>
      <c r="C9" s="3" t="s">
        <v>112</v>
      </c>
      <c r="D9" s="83">
        <f>SUM('Income Statement - Monthly'!D9:O9)</f>
        <v>838.21251620185819</v>
      </c>
      <c r="E9" s="38">
        <f>SUM('Income Statement - Monthly'!P9:AA9)</f>
        <v>1192.6553860145291</v>
      </c>
      <c r="F9" s="38">
        <f>SUM('Income Statement - Monthly'!AB9:AM9)</f>
        <v>1230.5281057689531</v>
      </c>
      <c r="G9" s="38">
        <f>SUM('Income Statement - Monthly'!AN9:AY9)</f>
        <v>1325.8980568972031</v>
      </c>
      <c r="H9" s="84">
        <f>SUM('Income Statement - Monthly'!AZ9:BK9)</f>
        <v>1566.0558178708484</v>
      </c>
    </row>
    <row r="10" spans="2:15" s="1" customFormat="1" x14ac:dyDescent="0.2">
      <c r="B10" s="45"/>
      <c r="C10" s="142" t="s">
        <v>29</v>
      </c>
      <c r="D10" s="73">
        <f>SUM('Income Statement - Monthly'!D10:O10)</f>
        <v>873375.56382020982</v>
      </c>
      <c r="E10" s="46">
        <f>SUM('Income Statement - Monthly'!P10:AA10)</f>
        <v>1858365.5986591021</v>
      </c>
      <c r="F10" s="46">
        <f>SUM('Income Statement - Monthly'!AB10:AM10)</f>
        <v>2019649.0371952883</v>
      </c>
      <c r="G10" s="46">
        <f>SUM('Income Statement - Monthly'!AN10:AY10)</f>
        <v>2598335.2623215006</v>
      </c>
      <c r="H10" s="74">
        <f>SUM('Income Statement - Monthly'!AZ10:BK10)</f>
        <v>3155028.9776661471</v>
      </c>
      <c r="I10" s="23"/>
      <c r="J10" s="23"/>
      <c r="K10" s="23"/>
      <c r="L10" s="23"/>
      <c r="M10" s="23"/>
      <c r="N10" s="23"/>
      <c r="O10" s="23"/>
    </row>
    <row r="11" spans="2:15" x14ac:dyDescent="0.2">
      <c r="B11" s="2"/>
      <c r="C11" s="3"/>
      <c r="D11" s="79"/>
      <c r="E11" s="48"/>
      <c r="F11" s="48"/>
      <c r="G11" s="48"/>
      <c r="H11" s="66"/>
      <c r="I11" s="18"/>
      <c r="J11" s="18"/>
      <c r="K11" s="18"/>
      <c r="L11" s="18"/>
      <c r="M11" s="18"/>
      <c r="N11" s="18"/>
      <c r="O11" s="18"/>
    </row>
    <row r="12" spans="2:15" s="1" customFormat="1" x14ac:dyDescent="0.2">
      <c r="B12" s="45" t="s">
        <v>30</v>
      </c>
      <c r="C12" s="3"/>
      <c r="D12" s="73"/>
      <c r="E12" s="48"/>
      <c r="F12" s="48"/>
      <c r="G12" s="48"/>
      <c r="H12" s="66"/>
      <c r="I12" s="20"/>
      <c r="J12" s="20"/>
      <c r="K12" s="20"/>
      <c r="L12" s="20"/>
      <c r="M12" s="20"/>
      <c r="N12" s="20"/>
      <c r="O12" s="20"/>
    </row>
    <row r="13" spans="2:15" x14ac:dyDescent="0.2">
      <c r="B13" s="45"/>
      <c r="C13" s="3" t="s">
        <v>56</v>
      </c>
      <c r="D13" s="79">
        <f>SUM('Income Statement - Monthly'!D13:O13)</f>
        <v>102599.64553314121</v>
      </c>
      <c r="E13" s="48">
        <f>SUM('Income Statement - Monthly'!P13:AA13)</f>
        <v>106512.96829971181</v>
      </c>
      <c r="F13" s="48">
        <f>SUM('Income Statement - Monthly'!AB13:AM13)</f>
        <v>0</v>
      </c>
      <c r="G13" s="48">
        <f>SUM('Income Statement - Monthly'!AN13:AY13)</f>
        <v>0</v>
      </c>
      <c r="H13" s="66">
        <f>SUM('Income Statement - Monthly'!AZ13:BK13)</f>
        <v>0</v>
      </c>
    </row>
    <row r="14" spans="2:15" s="1" customFormat="1" x14ac:dyDescent="0.2">
      <c r="B14" s="2"/>
      <c r="C14" s="3" t="s">
        <v>45</v>
      </c>
      <c r="D14" s="79">
        <f>SUM('Income Statement - Monthly'!D14:O14)</f>
        <v>93576</v>
      </c>
      <c r="E14" s="48">
        <f>SUM('Income Statement - Monthly'!P14:AA14)</f>
        <v>363982.5</v>
      </c>
      <c r="F14" s="48">
        <f>SUM('Income Statement - Monthly'!AB14:AM14)</f>
        <v>577374</v>
      </c>
      <c r="G14" s="48">
        <f>SUM('Income Statement - Monthly'!AN14:AY14)</f>
        <v>748492.5</v>
      </c>
      <c r="H14" s="66">
        <f>SUM('Income Statement - Monthly'!AZ14:BK14)</f>
        <v>909237</v>
      </c>
      <c r="I14" s="20"/>
      <c r="J14" s="20"/>
      <c r="K14" s="20"/>
      <c r="L14" s="20"/>
      <c r="M14" s="20"/>
      <c r="N14" s="20"/>
      <c r="O14" s="20"/>
    </row>
    <row r="15" spans="2:15" s="1" customFormat="1" x14ac:dyDescent="0.2">
      <c r="B15" s="68"/>
      <c r="C15" s="143" t="s">
        <v>46</v>
      </c>
      <c r="D15" s="79">
        <f>SUM('Income Statement - Monthly'!D15:O15)</f>
        <v>22353.894714327922</v>
      </c>
      <c r="E15" s="48">
        <f>SUM('Income Statement - Monthly'!P15:AA15)</f>
        <v>31704.337782468254</v>
      </c>
      <c r="F15" s="48">
        <f>SUM('Income Statement - Monthly'!AB15:AM15)</f>
        <v>32843.478181331782</v>
      </c>
      <c r="G15" s="48">
        <f>SUM('Income Statement - Monthly'!AN15:AY15)</f>
        <v>35712.027492611174</v>
      </c>
      <c r="H15" s="66">
        <f>SUM('Income Statement - Monthly'!AZ15:BK15)</f>
        <v>42935.522646896599</v>
      </c>
      <c r="I15" s="20"/>
      <c r="J15" s="20"/>
      <c r="K15" s="20"/>
      <c r="L15" s="20"/>
      <c r="M15" s="20"/>
      <c r="N15" s="20"/>
      <c r="O15" s="20"/>
    </row>
    <row r="16" spans="2:15" x14ac:dyDescent="0.2">
      <c r="B16" s="68"/>
      <c r="C16" s="145" t="s">
        <v>50</v>
      </c>
      <c r="D16" s="79">
        <f>SUM('Income Statement - Monthly'!D16:O16)</f>
        <v>30961</v>
      </c>
      <c r="E16" s="48">
        <f>SUM('Income Statement - Monthly'!P16:AA16)</f>
        <v>121327.5</v>
      </c>
      <c r="F16" s="48">
        <f>SUM('Income Statement - Monthly'!AB16:AM16)</f>
        <v>192458</v>
      </c>
      <c r="G16" s="48">
        <f>SUM('Income Statement - Monthly'!AN16:AY16)</f>
        <v>249497.5</v>
      </c>
      <c r="H16" s="66">
        <f>SUM('Income Statement - Monthly'!AZ16:BK16)</f>
        <v>303079</v>
      </c>
    </row>
    <row r="17" spans="2:15" x14ac:dyDescent="0.2">
      <c r="B17" s="68"/>
      <c r="C17" s="3" t="s">
        <v>51</v>
      </c>
      <c r="D17" s="83">
        <f>SUM('Income Statement - Monthly'!D17:O17)</f>
        <v>10976</v>
      </c>
      <c r="E17" s="38">
        <f>SUM('Income Statement - Monthly'!P17:AA17)</f>
        <v>35100</v>
      </c>
      <c r="F17" s="38">
        <f>SUM('Income Statement - Monthly'!AB17:AM17)</f>
        <v>54600</v>
      </c>
      <c r="G17" s="38">
        <f>SUM('Income Statement - Monthly'!AN17:AY17)</f>
        <v>69550</v>
      </c>
      <c r="H17" s="84">
        <f>SUM('Income Statement - Monthly'!AZ17:BK17)</f>
        <v>84500</v>
      </c>
      <c r="I17" s="11"/>
      <c r="J17" s="11"/>
      <c r="K17" s="11"/>
      <c r="L17" s="11"/>
      <c r="M17" s="11"/>
      <c r="N17" s="11"/>
      <c r="O17" s="11"/>
    </row>
    <row r="18" spans="2:15" s="1" customFormat="1" x14ac:dyDescent="0.2">
      <c r="B18" s="45"/>
      <c r="C18" s="142" t="s">
        <v>117</v>
      </c>
      <c r="D18" s="73">
        <f>SUM('Income Statement - Monthly'!D18:O18)</f>
        <v>260466.54024746912</v>
      </c>
      <c r="E18" s="46">
        <f>SUM('Income Statement - Monthly'!P18:AA18)</f>
        <v>658627.30608218012</v>
      </c>
      <c r="F18" s="46">
        <f>SUM('Income Statement - Monthly'!AB18:AM18)</f>
        <v>857275.47818133177</v>
      </c>
      <c r="G18" s="46">
        <f>SUM('Income Statement - Monthly'!AN18:AY18)</f>
        <v>1103252.0274926112</v>
      </c>
      <c r="H18" s="74">
        <f>SUM('Income Statement - Monthly'!AZ18:BK18)</f>
        <v>1339751.5226468965</v>
      </c>
      <c r="I18" s="21"/>
      <c r="J18" s="21"/>
      <c r="K18" s="21"/>
      <c r="L18" s="21"/>
      <c r="M18" s="21"/>
      <c r="N18" s="21"/>
      <c r="O18" s="21"/>
    </row>
    <row r="19" spans="2:15" x14ac:dyDescent="0.2">
      <c r="B19" s="2"/>
      <c r="C19" s="3"/>
      <c r="D19" s="79"/>
      <c r="E19" s="48"/>
      <c r="F19" s="48"/>
      <c r="G19" s="48"/>
      <c r="H19" s="66"/>
      <c r="I19" s="11"/>
      <c r="J19" s="11"/>
      <c r="K19" s="11"/>
      <c r="L19" s="11"/>
      <c r="M19" s="11"/>
      <c r="N19" s="11"/>
      <c r="O19" s="11"/>
    </row>
    <row r="20" spans="2:15" s="1" customFormat="1" x14ac:dyDescent="0.2">
      <c r="B20" s="45" t="s">
        <v>32</v>
      </c>
      <c r="C20" s="47"/>
      <c r="D20" s="73">
        <f>SUM('Income Statement - Monthly'!D20:O20)</f>
        <v>612909.02357274084</v>
      </c>
      <c r="E20" s="46">
        <f>SUM('Income Statement - Monthly'!P20:AA20)</f>
        <v>1199738.2925769221</v>
      </c>
      <c r="F20" s="46">
        <f>SUM('Income Statement - Monthly'!AB20:AM20)</f>
        <v>1162373.5590139567</v>
      </c>
      <c r="G20" s="46">
        <f>SUM('Income Statement - Monthly'!AN20:AY20)</f>
        <v>1495083.2348288896</v>
      </c>
      <c r="H20" s="74">
        <f>SUM('Income Statement - Monthly'!AZ20:BK20)</f>
        <v>1815277.4550192503</v>
      </c>
      <c r="I20" s="21"/>
      <c r="J20" s="21"/>
      <c r="K20" s="21"/>
      <c r="L20" s="21"/>
      <c r="M20" s="21"/>
      <c r="N20" s="21"/>
      <c r="O20" s="21"/>
    </row>
    <row r="21" spans="2:15" x14ac:dyDescent="0.2">
      <c r="B21" s="2"/>
      <c r="C21" s="3"/>
      <c r="D21" s="79"/>
      <c r="E21" s="48"/>
      <c r="F21" s="48"/>
      <c r="G21" s="48"/>
      <c r="H21" s="66"/>
    </row>
    <row r="22" spans="2:15" s="1" customFormat="1" x14ac:dyDescent="0.2">
      <c r="B22" s="45" t="s">
        <v>33</v>
      </c>
      <c r="C22" s="3"/>
      <c r="D22" s="73"/>
      <c r="E22" s="48"/>
      <c r="F22" s="48"/>
      <c r="G22" s="48"/>
      <c r="H22" s="66"/>
      <c r="I22" s="20"/>
      <c r="J22" s="20"/>
      <c r="K22" s="20"/>
      <c r="L22" s="20"/>
      <c r="M22" s="20"/>
      <c r="N22" s="20"/>
      <c r="O22" s="20"/>
    </row>
    <row r="23" spans="2:15" x14ac:dyDescent="0.2">
      <c r="B23" s="68"/>
      <c r="C23" s="143" t="s">
        <v>47</v>
      </c>
      <c r="D23" s="79">
        <f>SUM('Income Statement - Monthly'!D23:O23)</f>
        <v>169867</v>
      </c>
      <c r="E23" s="48">
        <f>SUM('Income Statement - Monthly'!P23:AA23)</f>
        <v>240000</v>
      </c>
      <c r="F23" s="48">
        <f>SUM('Income Statement - Monthly'!AB23:AM23)</f>
        <v>240000</v>
      </c>
      <c r="G23" s="48">
        <f>SUM('Income Statement - Monthly'!AN23:AY23)</f>
        <v>240000</v>
      </c>
      <c r="H23" s="66">
        <f>SUM('Income Statement - Monthly'!AZ23:BK23)</f>
        <v>240000</v>
      </c>
    </row>
    <row r="24" spans="2:15" x14ac:dyDescent="0.2">
      <c r="B24" s="68"/>
      <c r="C24" s="143" t="s">
        <v>48</v>
      </c>
      <c r="D24" s="79">
        <f>SUM('Income Statement - Monthly'!D24:O24)</f>
        <v>258657</v>
      </c>
      <c r="E24" s="48">
        <f>SUM('Income Statement - Monthly'!P24:AA24)</f>
        <v>360000</v>
      </c>
      <c r="F24" s="48">
        <f>SUM('Income Statement - Monthly'!AB24:AM24)</f>
        <v>360000</v>
      </c>
      <c r="G24" s="48">
        <f>SUM('Income Statement - Monthly'!AN24:AY24)</f>
        <v>360000</v>
      </c>
      <c r="H24" s="66">
        <f>SUM('Income Statement - Monthly'!AZ24:BK24)</f>
        <v>360000</v>
      </c>
      <c r="I24" s="11"/>
      <c r="J24" s="11"/>
      <c r="K24" s="11"/>
      <c r="L24" s="11"/>
      <c r="M24" s="11"/>
      <c r="N24" s="11"/>
      <c r="O24" s="11"/>
    </row>
    <row r="25" spans="2:15" x14ac:dyDescent="0.2">
      <c r="B25" s="68"/>
      <c r="C25" s="143" t="s">
        <v>49</v>
      </c>
      <c r="D25" s="79">
        <f>SUM('Income Statement - Monthly'!D25:O25)</f>
        <v>0</v>
      </c>
      <c r="E25" s="48">
        <f>SUM('Income Statement - Monthly'!P25:AA25)</f>
        <v>0</v>
      </c>
      <c r="F25" s="48">
        <f>SUM('Income Statement - Monthly'!AB25:AM25)</f>
        <v>0</v>
      </c>
      <c r="G25" s="48">
        <f>SUM('Income Statement - Monthly'!AN25:AY25)</f>
        <v>0</v>
      </c>
      <c r="H25" s="66">
        <f>SUM('Income Statement - Monthly'!AZ25:BK25)</f>
        <v>0</v>
      </c>
    </row>
    <row r="26" spans="2:15" s="1" customFormat="1" x14ac:dyDescent="0.2">
      <c r="B26" s="68"/>
      <c r="C26" s="143" t="s">
        <v>52</v>
      </c>
      <c r="D26" s="83">
        <f>SUM('Income Statement - Monthly'!D26:O26)</f>
        <v>41250</v>
      </c>
      <c r="E26" s="38">
        <f>SUM('Income Statement - Monthly'!P26:AA26)</f>
        <v>45000</v>
      </c>
      <c r="F26" s="38">
        <f>SUM('Income Statement - Monthly'!AB26:AM26)</f>
        <v>45000</v>
      </c>
      <c r="G26" s="38">
        <f>SUM('Income Statement - Monthly'!AN26:AY26)</f>
        <v>45000</v>
      </c>
      <c r="H26" s="84">
        <f>SUM('Income Statement - Monthly'!AZ26:BK26)</f>
        <v>45000</v>
      </c>
      <c r="I26" s="20"/>
      <c r="J26" s="20"/>
      <c r="K26" s="20"/>
      <c r="L26" s="20"/>
      <c r="M26" s="20"/>
      <c r="N26" s="20"/>
      <c r="O26" s="20"/>
    </row>
    <row r="27" spans="2:15" s="1" customFormat="1" x14ac:dyDescent="0.2">
      <c r="B27" s="45"/>
      <c r="C27" s="144" t="s">
        <v>34</v>
      </c>
      <c r="D27" s="73">
        <f>SUM('Income Statement - Monthly'!D27:O27)</f>
        <v>469774</v>
      </c>
      <c r="E27" s="46">
        <f>SUM('Income Statement - Monthly'!P27:AA27)</f>
        <v>645000</v>
      </c>
      <c r="F27" s="46">
        <f>SUM('Income Statement - Monthly'!AB27:AM27)</f>
        <v>645000</v>
      </c>
      <c r="G27" s="46">
        <f>SUM('Income Statement - Monthly'!AN27:AY27)</f>
        <v>645000</v>
      </c>
      <c r="H27" s="74">
        <f>SUM('Income Statement - Monthly'!AZ27:BK27)</f>
        <v>645000</v>
      </c>
    </row>
    <row r="28" spans="2:15" x14ac:dyDescent="0.2">
      <c r="B28" s="2"/>
      <c r="C28" s="3"/>
      <c r="D28" s="79"/>
      <c r="E28" s="48"/>
      <c r="F28" s="48"/>
      <c r="G28" s="48"/>
      <c r="H28" s="66"/>
    </row>
    <row r="29" spans="2:15" s="1" customFormat="1" x14ac:dyDescent="0.2">
      <c r="B29" s="45" t="s">
        <v>35</v>
      </c>
      <c r="C29" s="47"/>
      <c r="D29" s="73">
        <f>SUM('Income Statement - Monthly'!D29:O29)</f>
        <v>143135.02357274081</v>
      </c>
      <c r="E29" s="46">
        <f>SUM('Income Statement - Monthly'!P29:AA29)</f>
        <v>554738.29257692199</v>
      </c>
      <c r="F29" s="46">
        <f>SUM('Income Statement - Monthly'!AB29:AM29)</f>
        <v>517373.55901395663</v>
      </c>
      <c r="G29" s="46">
        <f>SUM('Income Statement - Monthly'!AN29:AY29)</f>
        <v>850083.23482888937</v>
      </c>
      <c r="H29" s="74">
        <f>SUM('Income Statement - Monthly'!AZ29:BK29)</f>
        <v>1170277.4550192503</v>
      </c>
    </row>
    <row r="30" spans="2:15" x14ac:dyDescent="0.2">
      <c r="B30" s="2"/>
      <c r="C30" s="3"/>
      <c r="D30" s="79"/>
      <c r="E30" s="48"/>
      <c r="F30" s="48"/>
      <c r="G30" s="48"/>
      <c r="H30" s="66"/>
    </row>
    <row r="31" spans="2:15" s="1" customFormat="1" x14ac:dyDescent="0.2">
      <c r="B31" s="45" t="s">
        <v>36</v>
      </c>
      <c r="C31" s="3"/>
      <c r="D31" s="73"/>
      <c r="E31" s="48"/>
      <c r="F31" s="48"/>
      <c r="G31" s="48"/>
      <c r="H31" s="66"/>
    </row>
    <row r="32" spans="2:15" x14ac:dyDescent="0.2">
      <c r="B32" s="2"/>
      <c r="C32" s="3" t="s">
        <v>54</v>
      </c>
      <c r="D32" s="79">
        <f>SUM('Income Statement - Monthly'!D32:O32)</f>
        <v>144000</v>
      </c>
      <c r="E32" s="48">
        <f>SUM('Income Statement - Monthly'!P32:AA32)</f>
        <v>312000</v>
      </c>
      <c r="F32" s="48">
        <f>SUM('Income Statement - Monthly'!AB32:AM32)</f>
        <v>312000</v>
      </c>
      <c r="G32" s="48">
        <f>SUM('Income Statement - Monthly'!AN32:AY32)</f>
        <v>312000</v>
      </c>
      <c r="H32" s="66">
        <f>SUM('Income Statement - Monthly'!AZ32:BK32)</f>
        <v>312000</v>
      </c>
    </row>
    <row r="33" spans="1:62" x14ac:dyDescent="0.2">
      <c r="B33" s="2"/>
      <c r="C33" s="3" t="s">
        <v>37</v>
      </c>
      <c r="D33" s="79">
        <f>SUM('Income Statement - Monthly'!D33:O33)</f>
        <v>0</v>
      </c>
      <c r="E33" s="48">
        <f>SUM('Income Statement - Monthly'!P33:AA33)</f>
        <v>0</v>
      </c>
      <c r="F33" s="48">
        <f>SUM('Income Statement - Monthly'!AB33:AM33)</f>
        <v>0</v>
      </c>
      <c r="G33" s="48">
        <f>SUM('Income Statement - Monthly'!AN33:AY33)</f>
        <v>0</v>
      </c>
      <c r="H33" s="66">
        <f>SUM('Income Statement - Monthly'!AZ33:BK33)</f>
        <v>0</v>
      </c>
    </row>
    <row r="34" spans="1:62" x14ac:dyDescent="0.2">
      <c r="B34" s="2"/>
      <c r="C34" s="3" t="s">
        <v>53</v>
      </c>
      <c r="D34" s="79">
        <f>SUM('Income Statement - Monthly'!D34:O34)</f>
        <v>378000</v>
      </c>
      <c r="E34" s="48">
        <f>SUM('Income Statement - Monthly'!P34:AA34)</f>
        <v>576000</v>
      </c>
      <c r="F34" s="48">
        <f>SUM('Income Statement - Monthly'!AB34:AM34)</f>
        <v>707999.99999999988</v>
      </c>
      <c r="G34" s="48">
        <f>SUM('Income Statement - Monthly'!AN34:AY34)</f>
        <v>707999.99999999988</v>
      </c>
      <c r="H34" s="66">
        <f>SUM('Income Statement - Monthly'!AZ34:BK34)</f>
        <v>707999.99999999988</v>
      </c>
    </row>
    <row r="35" spans="1:62" x14ac:dyDescent="0.2">
      <c r="B35" s="2"/>
      <c r="C35" s="3" t="s">
        <v>38</v>
      </c>
      <c r="D35" s="79">
        <f>SUM('Income Statement - Monthly'!D35:O35)</f>
        <v>5316</v>
      </c>
      <c r="E35" s="48">
        <f>SUM('Income Statement - Monthly'!P35:AA35)</f>
        <v>8340</v>
      </c>
      <c r="F35" s="48">
        <f>SUM('Income Statement - Monthly'!AB35:AM35)</f>
        <v>9840</v>
      </c>
      <c r="G35" s="48">
        <f>SUM('Income Statement - Monthly'!AN35:AY35)</f>
        <v>10070</v>
      </c>
      <c r="H35" s="66">
        <f>SUM('Income Statement - Monthly'!AZ35:BK35)</f>
        <v>10300</v>
      </c>
    </row>
    <row r="36" spans="1:62" x14ac:dyDescent="0.2">
      <c r="B36" s="2"/>
      <c r="C36" s="3" t="s">
        <v>39</v>
      </c>
      <c r="D36" s="79">
        <f>SUM('Income Statement - Monthly'!D36:O36)</f>
        <v>13037</v>
      </c>
      <c r="E36" s="48">
        <f>SUM('Income Statement - Monthly'!P36:AA36)</f>
        <v>12000</v>
      </c>
      <c r="F36" s="48">
        <f>SUM('Income Statement - Monthly'!AB36:AM36)</f>
        <v>12000</v>
      </c>
      <c r="G36" s="48">
        <f>SUM('Income Statement - Monthly'!AN36:AY36)</f>
        <v>12000</v>
      </c>
      <c r="H36" s="66">
        <f>SUM('Income Statement - Monthly'!AZ36:BK36)</f>
        <v>12000</v>
      </c>
    </row>
    <row r="37" spans="1:62" x14ac:dyDescent="0.2">
      <c r="B37" s="2"/>
      <c r="C37" s="3" t="s">
        <v>40</v>
      </c>
      <c r="D37" s="79">
        <f>SUM('Income Statement - Monthly'!D37:O37)</f>
        <v>12514</v>
      </c>
      <c r="E37" s="48">
        <f>SUM('Income Statement - Monthly'!P37:AA37)</f>
        <v>18000</v>
      </c>
      <c r="F37" s="48">
        <f>SUM('Income Statement - Monthly'!AB37:AM37)</f>
        <v>18000</v>
      </c>
      <c r="G37" s="48">
        <f>SUM('Income Statement - Monthly'!AN37:AY37)</f>
        <v>18000</v>
      </c>
      <c r="H37" s="66">
        <f>SUM('Income Statement - Monthly'!AZ37:BK37)</f>
        <v>18000</v>
      </c>
    </row>
    <row r="38" spans="1:62" x14ac:dyDescent="0.2">
      <c r="B38" s="2"/>
      <c r="C38" s="3" t="s">
        <v>41</v>
      </c>
      <c r="D38" s="79">
        <f>SUM('Income Statement - Monthly'!D38:O38)</f>
        <v>0</v>
      </c>
      <c r="E38" s="48">
        <f>SUM('Income Statement - Monthly'!P38:AA38)</f>
        <v>0</v>
      </c>
      <c r="F38" s="48">
        <f>SUM('Income Statement - Monthly'!AB38:AM38)</f>
        <v>0</v>
      </c>
      <c r="G38" s="48">
        <f>SUM('Income Statement - Monthly'!AN38:AY38)</f>
        <v>0</v>
      </c>
      <c r="H38" s="66">
        <f>SUM('Income Statement - Monthly'!AZ38:BK38)</f>
        <v>0</v>
      </c>
    </row>
    <row r="39" spans="1:62" x14ac:dyDescent="0.2">
      <c r="B39" s="2"/>
      <c r="C39" s="3" t="s">
        <v>42</v>
      </c>
      <c r="D39" s="83">
        <f>SUM('Income Statement - Monthly'!D39:O39)</f>
        <v>0</v>
      </c>
      <c r="E39" s="38">
        <f>SUM('Income Statement - Monthly'!P39:AA39)</f>
        <v>0</v>
      </c>
      <c r="F39" s="38">
        <f>SUM('Income Statement - Monthly'!AB39:AM39)</f>
        <v>0</v>
      </c>
      <c r="G39" s="38">
        <f>SUM('Income Statement - Monthly'!AN39:AY39)</f>
        <v>0</v>
      </c>
      <c r="H39" s="84">
        <f>SUM('Income Statement - Monthly'!AZ39:BK39)</f>
        <v>0</v>
      </c>
    </row>
    <row r="40" spans="1:62" s="1" customFormat="1" x14ac:dyDescent="0.2">
      <c r="B40" s="45"/>
      <c r="C40" s="142" t="s">
        <v>43</v>
      </c>
      <c r="D40" s="73">
        <f>SUM('Income Statement - Monthly'!D40:O40)</f>
        <v>552867</v>
      </c>
      <c r="E40" s="46">
        <f>SUM('Income Statement - Monthly'!P40:AA40)</f>
        <v>926340</v>
      </c>
      <c r="F40" s="46">
        <f>SUM('Income Statement - Monthly'!AB40:AM40)</f>
        <v>1059840</v>
      </c>
      <c r="G40" s="46">
        <f>SUM('Income Statement - Monthly'!AN40:AY40)</f>
        <v>1060070</v>
      </c>
      <c r="H40" s="74">
        <f>SUM('Income Statement - Monthly'!AZ40:BK40)</f>
        <v>1060300</v>
      </c>
    </row>
    <row r="41" spans="1:62" ht="17" thickBot="1" x14ac:dyDescent="0.25">
      <c r="B41" s="2"/>
      <c r="C41" s="3"/>
      <c r="D41" s="79"/>
      <c r="E41" s="48"/>
      <c r="F41" s="48"/>
      <c r="G41" s="48"/>
      <c r="H41" s="66"/>
    </row>
    <row r="42" spans="1:62" s="37" customFormat="1" ht="17" thickBot="1" x14ac:dyDescent="0.25">
      <c r="A42" s="1"/>
      <c r="B42" s="146" t="s">
        <v>22</v>
      </c>
      <c r="C42" s="147"/>
      <c r="D42" s="151">
        <f>SUM('Income Statement - Monthly'!D42:O42)</f>
        <v>-409731.97642725916</v>
      </c>
      <c r="E42" s="152">
        <f>SUM('Income Statement - Monthly'!P42:AA42)</f>
        <v>-371601.70742307801</v>
      </c>
      <c r="F42" s="152">
        <f>SUM('Income Statement - Monthly'!AB42:AM42)</f>
        <v>-542466.44098604331</v>
      </c>
      <c r="G42" s="152">
        <f>SUM('Income Statement - Monthly'!AN42:AY42)</f>
        <v>-209986.7651711106</v>
      </c>
      <c r="H42" s="153">
        <f>SUM('Income Statement - Monthly'!AZ42:BK42)</f>
        <v>109977.45501925031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">
      <c r="B43" s="45"/>
      <c r="C43" s="47"/>
      <c r="D43" s="2"/>
      <c r="H43" s="3"/>
    </row>
    <row r="44" spans="1:62" x14ac:dyDescent="0.2">
      <c r="B44" s="45"/>
      <c r="C44" s="47" t="s">
        <v>151</v>
      </c>
      <c r="D44" s="79">
        <f>SUM('Income Statement - Monthly'!D44:O44)</f>
        <v>12102.088273728225</v>
      </c>
      <c r="E44" s="48">
        <f>SUM('Income Statement - Monthly'!P44:AA44)</f>
        <v>19460.005092604781</v>
      </c>
      <c r="F44" s="48">
        <f>SUM('Income Statement - Monthly'!AB44:AM44)</f>
        <v>25357.621177376997</v>
      </c>
      <c r="G44" s="48">
        <f>SUM('Income Statement - Monthly'!AN44:AY44)</f>
        <v>11102.689647660418</v>
      </c>
      <c r="H44" s="66">
        <f>SUM('Income Statement - Monthly'!AZ44:BK44)</f>
        <v>9288.6162461992335</v>
      </c>
    </row>
    <row r="45" spans="1:62" x14ac:dyDescent="0.2">
      <c r="B45" s="45"/>
      <c r="C45" s="47" t="s">
        <v>147</v>
      </c>
      <c r="D45" s="79">
        <f>SUM('Income Statement - Monthly'!D45:O45)</f>
        <v>-33999.999999999993</v>
      </c>
      <c r="E45" s="48">
        <f>SUM('Income Statement - Monthly'!P45:AA45)</f>
        <v>0</v>
      </c>
      <c r="F45" s="48">
        <f>SUM('Income Statement - Monthly'!AB45:AM45)</f>
        <v>0</v>
      </c>
      <c r="G45" s="48">
        <f>SUM('Income Statement - Monthly'!AN45:AY45)</f>
        <v>0</v>
      </c>
      <c r="H45" s="66">
        <f>SUM('Income Statement - Monthly'!AZ45:BK45)</f>
        <v>0</v>
      </c>
    </row>
    <row r="46" spans="1:62" ht="17" thickBot="1" x14ac:dyDescent="0.25">
      <c r="B46" s="53"/>
      <c r="C46" s="47"/>
      <c r="D46" s="2"/>
      <c r="H46" s="3"/>
    </row>
    <row r="47" spans="1:62" s="24" customFormat="1" ht="17" thickBot="1" x14ac:dyDescent="0.25">
      <c r="A47" s="1"/>
      <c r="B47" s="14" t="s">
        <v>152</v>
      </c>
      <c r="C47" s="135"/>
      <c r="D47" s="100">
        <f>SUM('Income Statement - Monthly'!D47:O47)</f>
        <v>-431629.88815353095</v>
      </c>
      <c r="E47" s="118">
        <f>SUM('Income Statement - Monthly'!P47:AA47)</f>
        <v>-352141.70233047329</v>
      </c>
      <c r="F47" s="118">
        <f>SUM('Income Statement - Monthly'!AB47:AM47)</f>
        <v>-517108.81980866636</v>
      </c>
      <c r="G47" s="118">
        <f>SUM('Income Statement - Monthly'!AN47:AY47)</f>
        <v>-198884.07552345021</v>
      </c>
      <c r="H47" s="119">
        <f>SUM('Income Statement - Monthly'!AZ47:BK47)</f>
        <v>119266.07126544954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9" spans="3:8" s="31" customFormat="1" x14ac:dyDescent="0.2">
      <c r="C49" s="31" t="s">
        <v>44</v>
      </c>
      <c r="D49" s="31">
        <f>'Income Statement - Monthly'!O49</f>
        <v>4.8</v>
      </c>
      <c r="E49" s="31">
        <f>'Income Statement - Monthly'!AA49</f>
        <v>8.1</v>
      </c>
      <c r="F49" s="31">
        <f>'Income Statement - Monthly'!AM49</f>
        <v>8.3000000000000007</v>
      </c>
      <c r="G49" s="31">
        <f>'Income Statement - Monthly'!AY49</f>
        <v>8.5</v>
      </c>
      <c r="H49" s="31">
        <f>'Income Statement - Monthly'!BK49</f>
        <v>8.6999999999999993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C6F0-154F-4740-B53D-A6698658CE80}">
  <dimension ref="A1:I33"/>
  <sheetViews>
    <sheetView tabSelected="1" zoomScale="220" zoomScaleNormal="220" workbookViewId="0">
      <pane xSplit="2" ySplit="4" topLeftCell="C5" activePane="bottomRight" state="frozen"/>
      <selection activeCell="H9" sqref="H9"/>
      <selection pane="topRight" activeCell="H9" sqref="H9"/>
      <selection pane="bottomLeft" activeCell="H9" sqref="H9"/>
      <selection pane="bottomRight" activeCell="G26" sqref="G26:G28"/>
    </sheetView>
    <sheetView workbookViewId="1"/>
  </sheetViews>
  <sheetFormatPr baseColWidth="10" defaultRowHeight="16" x14ac:dyDescent="0.2"/>
  <cols>
    <col min="1" max="1" width="1.83203125" customWidth="1"/>
    <col min="2" max="2" width="27.5" bestFit="1" customWidth="1"/>
    <col min="3" max="7" width="18.5" customWidth="1"/>
    <col min="8" max="8" width="7.83203125" customWidth="1"/>
    <col min="9" max="9" width="16" bestFit="1" customWidth="1"/>
  </cols>
  <sheetData>
    <row r="1" spans="1:7" ht="7" customHeight="1" x14ac:dyDescent="0.2"/>
    <row r="2" spans="1:7" ht="20" customHeight="1" x14ac:dyDescent="0.25">
      <c r="B2" s="35" t="s">
        <v>218</v>
      </c>
      <c r="C2" t="s">
        <v>113</v>
      </c>
    </row>
    <row r="3" spans="1:7" ht="20" customHeight="1" thickBot="1" x14ac:dyDescent="0.3">
      <c r="B3" s="35"/>
    </row>
    <row r="4" spans="1:7" s="15" customFormat="1" ht="17" thickBot="1" x14ac:dyDescent="0.25">
      <c r="A4"/>
      <c r="B4" s="75"/>
      <c r="C4" s="58">
        <v>2024</v>
      </c>
      <c r="D4" s="59">
        <f>C4+1</f>
        <v>2025</v>
      </c>
      <c r="E4" s="59">
        <f>D4+1</f>
        <v>2026</v>
      </c>
      <c r="F4" s="59">
        <f>E4+1</f>
        <v>2027</v>
      </c>
      <c r="G4" s="134">
        <f>F4+1</f>
        <v>2028</v>
      </c>
    </row>
    <row r="5" spans="1:7" s="1" customFormat="1" x14ac:dyDescent="0.2">
      <c r="B5" s="45" t="str">
        <f>'Cash Flow - Monthly'!B5</f>
        <v>Beginning Cash Balance</v>
      </c>
      <c r="C5" s="73">
        <f>'Cash Flow - Monthly'!C5</f>
        <v>85000</v>
      </c>
      <c r="D5" s="46">
        <f>'Cash Flow - Monthly'!O5</f>
        <v>230973.70731365436</v>
      </c>
      <c r="E5" s="46">
        <f>'Cash Flow - Monthly'!AA5</f>
        <v>896769.79527142062</v>
      </c>
      <c r="F5" s="46">
        <f>'Cash Flow - Monthly'!AM5</f>
        <v>388481.66579031543</v>
      </c>
      <c r="G5" s="74">
        <f>'Cash Flow - Monthly'!AY5</f>
        <v>200906.31350733232</v>
      </c>
    </row>
    <row r="6" spans="1:7" x14ac:dyDescent="0.2">
      <c r="B6" s="2"/>
      <c r="C6" s="2"/>
      <c r="G6" s="3"/>
    </row>
    <row r="7" spans="1:7" x14ac:dyDescent="0.2">
      <c r="B7" s="2" t="str">
        <f>'Cash Flow - Monthly'!B7</f>
        <v>Cash Receipts</v>
      </c>
      <c r="C7" s="2"/>
      <c r="G7" s="3"/>
    </row>
    <row r="8" spans="1:7" x14ac:dyDescent="0.2">
      <c r="B8" s="98" t="str">
        <f>'Cash Flow - Monthly'!B8</f>
        <v xml:space="preserve">Gross sales </v>
      </c>
      <c r="C8" s="79">
        <f>SUM('Cash Flow - Monthly'!C8:N8)</f>
        <v>873375.56382020982</v>
      </c>
      <c r="D8" s="48">
        <f>SUM('Cash Flow - Monthly'!O8:Z8)</f>
        <v>1858365.5986591021</v>
      </c>
      <c r="E8" s="48">
        <f>SUM('Cash Flow - Monthly'!AA8:AL8)</f>
        <v>2019649.0371952883</v>
      </c>
      <c r="F8" s="48">
        <f>SUM('Cash Flow - Monthly'!AM8:AX8)</f>
        <v>2598335.2623215006</v>
      </c>
      <c r="G8" s="66">
        <f>SUM('Cash Flow - Monthly'!AY8:BJ8)</f>
        <v>3155028.9776661471</v>
      </c>
    </row>
    <row r="9" spans="1:7" x14ac:dyDescent="0.2">
      <c r="B9" s="98" t="str">
        <f>'Cash Flow - Monthly'!B9</f>
        <v>Change in A/R</v>
      </c>
      <c r="C9" s="83">
        <f>SUM('Cash Flow - Monthly'!C9:N9)</f>
        <v>0</v>
      </c>
      <c r="D9" s="38">
        <f>SUM('Cash Flow - Monthly'!O9:Z9)</f>
        <v>0</v>
      </c>
      <c r="E9" s="38">
        <f>SUM('Cash Flow - Monthly'!AA9:AL9)</f>
        <v>0</v>
      </c>
      <c r="F9" s="38">
        <f>SUM('Cash Flow - Monthly'!AM9:AX9)</f>
        <v>0</v>
      </c>
      <c r="G9" s="84">
        <f>SUM('Cash Flow - Monthly'!AY9:BJ9)</f>
        <v>0</v>
      </c>
    </row>
    <row r="10" spans="1:7" s="1" customFormat="1" x14ac:dyDescent="0.2">
      <c r="B10" s="139" t="str">
        <f>'Cash Flow - Monthly'!B10</f>
        <v>Total Receipts</v>
      </c>
      <c r="C10" s="73">
        <f>SUM('Cash Flow - Monthly'!C10:N10)</f>
        <v>873375.56382020982</v>
      </c>
      <c r="D10" s="46">
        <f>SUM('Cash Flow - Monthly'!O10:Z10)</f>
        <v>1858365.5986591021</v>
      </c>
      <c r="E10" s="46">
        <f>SUM('Cash Flow - Monthly'!AA10:AL10)</f>
        <v>2019649.0371952883</v>
      </c>
      <c r="F10" s="46">
        <f>SUM('Cash Flow - Monthly'!AM10:AX10)</f>
        <v>2598335.2623215006</v>
      </c>
      <c r="G10" s="74">
        <f>SUM('Cash Flow - Monthly'!AY10:BJ10)</f>
        <v>3155028.9776661471</v>
      </c>
    </row>
    <row r="11" spans="1:7" x14ac:dyDescent="0.2">
      <c r="B11" s="2"/>
      <c r="C11" s="104"/>
      <c r="D11" s="48"/>
      <c r="E11" s="48"/>
      <c r="F11" s="48"/>
      <c r="G11" s="66"/>
    </row>
    <row r="12" spans="1:7" s="1" customFormat="1" x14ac:dyDescent="0.2">
      <c r="B12" s="2" t="str">
        <f>'Cash Flow - Monthly'!B12</f>
        <v>Disbursements:</v>
      </c>
      <c r="C12" s="79"/>
      <c r="D12" s="48"/>
      <c r="E12" s="48"/>
      <c r="F12" s="48"/>
      <c r="G12" s="66"/>
    </row>
    <row r="13" spans="1:7" x14ac:dyDescent="0.2">
      <c r="B13" s="98" t="str">
        <f>'Cash Flow - Monthly'!B13</f>
        <v>Gross Expenses</v>
      </c>
      <c r="C13" s="79">
        <f>SUM('Cash Flow - Monthly'!C13:N13)</f>
        <v>1283107.5402474692</v>
      </c>
      <c r="D13" s="48">
        <f>SUM('Cash Flow - Monthly'!O13:Z13)</f>
        <v>2229967.3060821802</v>
      </c>
      <c r="E13" s="48">
        <f>SUM('Cash Flow - Monthly'!AA13:AL13)</f>
        <v>2562115.4781813323</v>
      </c>
      <c r="F13" s="48">
        <f>SUM('Cash Flow - Monthly'!AM13:AX13)</f>
        <v>2808322.0274926117</v>
      </c>
      <c r="G13" s="66">
        <f>SUM('Cash Flow - Monthly'!AY13:BJ13)</f>
        <v>3045051.5226468961</v>
      </c>
    </row>
    <row r="14" spans="1:7" x14ac:dyDescent="0.2">
      <c r="B14" s="98" t="str">
        <f>'Cash Flow - Monthly'!B14</f>
        <v xml:space="preserve">Change in A/P </v>
      </c>
      <c r="C14" s="79">
        <f>SUM('Cash Flow - Monthly'!C14:N14)</f>
        <v>-92726.19093437065</v>
      </c>
      <c r="D14" s="48">
        <f>SUM('Cash Flow - Monthly'!O14:Z14)</f>
        <v>-28213.580576479129</v>
      </c>
      <c r="E14" s="48">
        <f>SUM('Cash Flow - Monthly'!AA14:AL14)</f>
        <v>-12353.880655122673</v>
      </c>
      <c r="F14" s="48">
        <f>SUM('Cash Flow - Monthly'!AM14:AX14)</f>
        <v>-18152.446480934159</v>
      </c>
      <c r="G14" s="66">
        <f>SUM('Cash Flow - Monthly'!AY14:BJ14)</f>
        <v>-19695.520196066413</v>
      </c>
    </row>
    <row r="15" spans="1:7" x14ac:dyDescent="0.2">
      <c r="B15" s="98" t="str">
        <f>'Cash Flow - Monthly'!B15</f>
        <v>Change in Inventory Value</v>
      </c>
      <c r="C15" s="79">
        <f>SUM('Cash Flow - Monthly'!C15:N15)</f>
        <v>15122.595467185323</v>
      </c>
      <c r="D15" s="48">
        <f>SUM('Cash Flow - Monthly'!O15:Z15)</f>
        <v>10275.790288239567</v>
      </c>
      <c r="E15" s="48">
        <f>SUM('Cash Flow - Monthly'!AA15:AL15)</f>
        <v>3533.1903275613295</v>
      </c>
      <c r="F15" s="48">
        <f>SUM('Cash Flow - Monthly'!AM15:AX15)</f>
        <v>6843.7232404670794</v>
      </c>
      <c r="G15" s="66">
        <f>SUM('Cash Flow - Monthly'!AY15:BJ15)</f>
        <v>7489.2600980332209</v>
      </c>
    </row>
    <row r="16" spans="1:7" x14ac:dyDescent="0.2">
      <c r="B16" s="98" t="str">
        <f>'Cash Flow - Monthly'!B16</f>
        <v>Capital Expenditures</v>
      </c>
      <c r="C16" s="79">
        <f>SUM('Cash Flow - Monthly'!C16:N16)</f>
        <v>34000</v>
      </c>
      <c r="D16" s="48">
        <f>SUM('Cash Flow - Monthly'!O16:Z16)</f>
        <v>0</v>
      </c>
      <c r="E16" s="48">
        <f>SUM('Cash Flow - Monthly'!AA16:AL16)</f>
        <v>0</v>
      </c>
      <c r="F16" s="48">
        <f>SUM('Cash Flow - Monthly'!AM16:AX16)</f>
        <v>0</v>
      </c>
      <c r="G16" s="66">
        <f>SUM('Cash Flow - Monthly'!AY16:BJ16)</f>
        <v>0</v>
      </c>
    </row>
    <row r="17" spans="2:9" x14ac:dyDescent="0.2">
      <c r="B17" s="98" t="str">
        <f>'Cash Flow - Monthly'!B17</f>
        <v>Income Tax Paid</v>
      </c>
      <c r="C17" s="83">
        <f>SUM('Cash Flow - Monthly'!C17:N17)</f>
        <v>0</v>
      </c>
      <c r="D17" s="38">
        <f>SUM('Cash Flow - Monthly'!O17:Z17)</f>
        <v>0</v>
      </c>
      <c r="E17" s="38">
        <f>SUM('Cash Flow - Monthly'!AA17:AL17)</f>
        <v>0</v>
      </c>
      <c r="F17" s="38">
        <f>SUM('Cash Flow - Monthly'!AM17:AX17)</f>
        <v>0</v>
      </c>
      <c r="G17" s="84">
        <f>SUM('Cash Flow - Monthly'!AY17:BJ17)</f>
        <v>0</v>
      </c>
    </row>
    <row r="18" spans="2:9" s="1" customFormat="1" x14ac:dyDescent="0.2">
      <c r="B18" s="139" t="str">
        <f>'Cash Flow - Monthly'!B18</f>
        <v>Total Disbursements</v>
      </c>
      <c r="C18" s="73">
        <f>SUM('Cash Flow - Monthly'!C18:N18)</f>
        <v>1239503.9447802841</v>
      </c>
      <c r="D18" s="46">
        <f>SUM('Cash Flow - Monthly'!O18:Z18)</f>
        <v>2212029.5157939405</v>
      </c>
      <c r="E18" s="46">
        <f>SUM('Cash Flow - Monthly'!AA18:AL18)</f>
        <v>2553294.7878537709</v>
      </c>
      <c r="F18" s="46">
        <f>SUM('Cash Flow - Monthly'!AM18:AX18)</f>
        <v>2797013.3042521444</v>
      </c>
      <c r="G18" s="74">
        <f>SUM('Cash Flow - Monthly'!AY18:BJ18)</f>
        <v>3032845.2625488634</v>
      </c>
    </row>
    <row r="19" spans="2:9" x14ac:dyDescent="0.2">
      <c r="B19" s="2"/>
      <c r="C19" s="79"/>
      <c r="D19" s="48"/>
      <c r="E19" s="48"/>
      <c r="F19" s="48"/>
      <c r="G19" s="66"/>
    </row>
    <row r="20" spans="2:9" s="1" customFormat="1" x14ac:dyDescent="0.2">
      <c r="B20" s="45" t="str">
        <f>'Cash Flow - Monthly'!B20</f>
        <v>Net Cash Flow from Operations</v>
      </c>
      <c r="C20" s="73">
        <f>SUM('Cash Flow - Monthly'!C20:N20)</f>
        <v>-366128.3809600739</v>
      </c>
      <c r="D20" s="46">
        <f>SUM('Cash Flow - Monthly'!O20:Z20)</f>
        <v>-353663.91713483841</v>
      </c>
      <c r="E20" s="46">
        <f>SUM('Cash Flow - Monthly'!AA20:AL20)</f>
        <v>-533645.75065848208</v>
      </c>
      <c r="F20" s="46">
        <f>SUM('Cash Flow - Monthly'!AM20:AX20)</f>
        <v>-198678.04193064355</v>
      </c>
      <c r="G20" s="74">
        <f>SUM('Cash Flow - Monthly'!AY20:BJ20)</f>
        <v>122183.71511728343</v>
      </c>
    </row>
    <row r="21" spans="2:9" x14ac:dyDescent="0.2">
      <c r="B21" s="2"/>
      <c r="C21" s="79"/>
      <c r="D21" s="48"/>
      <c r="E21" s="48"/>
      <c r="F21" s="48"/>
      <c r="G21" s="66"/>
    </row>
    <row r="22" spans="2:9" x14ac:dyDescent="0.2">
      <c r="B22" s="98" t="str">
        <f>'Cash Flow - Monthly'!B22</f>
        <v>Equity Financing</v>
      </c>
      <c r="C22" s="79">
        <f>SUM('Cash Flow - Monthly'!C22:N22)</f>
        <v>500000</v>
      </c>
      <c r="D22" s="48">
        <f>SUM('Cash Flow - Monthly'!O22:Z22)</f>
        <v>1000000</v>
      </c>
      <c r="E22" s="48">
        <f>SUM('Cash Flow - Monthly'!AA22:AL22)</f>
        <v>0</v>
      </c>
      <c r="F22" s="48">
        <f>SUM('Cash Flow - Monthly'!AM22:AX22)</f>
        <v>0</v>
      </c>
      <c r="G22" s="66">
        <f>SUM('Cash Flow - Monthly'!AY22:BJ22)</f>
        <v>0</v>
      </c>
    </row>
    <row r="23" spans="2:9" x14ac:dyDescent="0.2">
      <c r="B23" s="98" t="str">
        <f>'Cash Flow - Monthly'!B23</f>
        <v>Interest Income</v>
      </c>
      <c r="C23" s="79">
        <f>SUM('Cash Flow - Monthly'!C23:N23)</f>
        <v>12102.088273728225</v>
      </c>
      <c r="D23" s="48">
        <f>SUM('Cash Flow - Monthly'!O23:Z23)</f>
        <v>19460.005092604781</v>
      </c>
      <c r="E23" s="48">
        <f>SUM('Cash Flow - Monthly'!AA23:AL23)</f>
        <v>25357.621177376997</v>
      </c>
      <c r="F23" s="48">
        <f>SUM('Cash Flow - Monthly'!AM23:AX23)</f>
        <v>11102.689647660418</v>
      </c>
      <c r="G23" s="66">
        <f>SUM('Cash Flow - Monthly'!AY23:BJ23)</f>
        <v>9288.6162461992335</v>
      </c>
    </row>
    <row r="24" spans="2:9" x14ac:dyDescent="0.2">
      <c r="B24" s="98" t="str">
        <f>'Cash Flow - Monthly'!B24</f>
        <v>Short Term borrowing</v>
      </c>
      <c r="C24" s="79">
        <f>SUM('Cash Flow - Monthly'!C24:N24)</f>
        <v>0</v>
      </c>
      <c r="D24" s="48">
        <f>SUM('Cash Flow - Monthly'!O24:Z24)</f>
        <v>0</v>
      </c>
      <c r="E24" s="48">
        <f>SUM('Cash Flow - Monthly'!AA24:AL24)</f>
        <v>0</v>
      </c>
      <c r="F24" s="48">
        <f>SUM('Cash Flow - Monthly'!AM24:AX24)</f>
        <v>0</v>
      </c>
      <c r="G24" s="66">
        <f>SUM('Cash Flow - Monthly'!AY24:BJ24)</f>
        <v>0</v>
      </c>
      <c r="I24" s="446"/>
    </row>
    <row r="25" spans="2:9" x14ac:dyDescent="0.2">
      <c r="B25" s="98" t="str">
        <f>'Cash Flow - Monthly'!B25</f>
        <v>Short Term repayments</v>
      </c>
      <c r="C25" s="79">
        <f>SUM('Cash Flow - Monthly'!C25:N25)</f>
        <v>0</v>
      </c>
      <c r="D25" s="48">
        <f>SUM('Cash Flow - Monthly'!O25:Z25)</f>
        <v>0</v>
      </c>
      <c r="E25" s="48">
        <f>SUM('Cash Flow - Monthly'!AA25:AL25)</f>
        <v>0</v>
      </c>
      <c r="F25" s="48">
        <f>SUM('Cash Flow - Monthly'!AM25:AX25)</f>
        <v>0</v>
      </c>
      <c r="G25" s="66">
        <f>SUM('Cash Flow - Monthly'!AY25:BJ25)</f>
        <v>0</v>
      </c>
      <c r="I25" s="17"/>
    </row>
    <row r="26" spans="2:9" ht="17" thickBot="1" x14ac:dyDescent="0.25">
      <c r="B26" s="2"/>
      <c r="C26" s="79"/>
      <c r="D26" s="48"/>
      <c r="E26" s="48"/>
      <c r="F26" s="48"/>
      <c r="G26" s="66"/>
      <c r="I26" s="447"/>
    </row>
    <row r="27" spans="2:9" s="1" customFormat="1" ht="17" thickBot="1" x14ac:dyDescent="0.25">
      <c r="B27" s="135" t="str">
        <f>'Cash Flow - Monthly'!B29</f>
        <v>Ending Cash Balance</v>
      </c>
      <c r="C27" s="100">
        <f>'Cash Flow - Monthly'!N29</f>
        <v>230973.70731365436</v>
      </c>
      <c r="D27" s="118">
        <f>'Cash Flow - Monthly'!Z29</f>
        <v>896769.79527142062</v>
      </c>
      <c r="E27" s="118">
        <f>SUM('Cash Flow - Monthly'!AL29)</f>
        <v>388481.66579031543</v>
      </c>
      <c r="F27" s="118">
        <f>SUM('Cash Flow - Monthly'!AX29)</f>
        <v>200906.31350733232</v>
      </c>
      <c r="G27" s="119">
        <f>SUM('Cash Flow - Monthly'!BJ29)</f>
        <v>332378.64487081498</v>
      </c>
    </row>
    <row r="28" spans="2:9" s="31" customFormat="1" x14ac:dyDescent="0.2">
      <c r="C28" s="32"/>
      <c r="D28" s="32"/>
      <c r="E28" s="32"/>
      <c r="F28" s="32"/>
      <c r="G28" s="32"/>
    </row>
    <row r="29" spans="2:9" x14ac:dyDescent="0.2">
      <c r="B29" s="33" t="s">
        <v>166</v>
      </c>
      <c r="C29" s="34">
        <f>MIN('Cash Flow - Monthly'!C29:N29)</f>
        <v>9671.279444444448</v>
      </c>
      <c r="D29" s="34">
        <f>MIN('Cash Flow - Monthly'!O29:Z29)</f>
        <v>67103.084986301954</v>
      </c>
      <c r="E29" s="34">
        <f>MIN('Cash Flow - Monthly'!AA29:AL29)</f>
        <v>388481.66579031543</v>
      </c>
      <c r="F29" s="34">
        <f>MIN('Cash Flow - Monthly'!AM29:AX29)</f>
        <v>200906.31350733232</v>
      </c>
      <c r="G29" s="34">
        <f>MIN('Cash Flow - Monthly'!AY29:BJ29)</f>
        <v>198917.97300083764</v>
      </c>
    </row>
    <row r="31" spans="2:9" x14ac:dyDescent="0.2">
      <c r="E31" t="s">
        <v>224</v>
      </c>
      <c r="F31" s="453">
        <v>1900000</v>
      </c>
    </row>
    <row r="32" spans="2:9" x14ac:dyDescent="0.2">
      <c r="E32" t="s">
        <v>225</v>
      </c>
      <c r="F32" s="446">
        <v>7</v>
      </c>
    </row>
    <row r="33" spans="5:6" x14ac:dyDescent="0.2">
      <c r="E33" t="s">
        <v>226</v>
      </c>
      <c r="F33" s="16">
        <f>F31/F32</f>
        <v>271428.57142857142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C7EA-33E5-E84C-86CD-E16C1A10ECDE}">
  <dimension ref="A2:G29"/>
  <sheetViews>
    <sheetView zoomScale="190" zoomScaleNormal="190" workbookViewId="0">
      <pane xSplit="2" ySplit="4" topLeftCell="C5" activePane="bottomRight" state="frozen"/>
      <selection activeCell="H9" sqref="H9"/>
      <selection pane="topRight" activeCell="H9" sqref="H9"/>
      <selection pane="bottomLeft" activeCell="H9" sqref="H9"/>
      <selection pane="bottomRight" activeCell="H9" sqref="H9"/>
    </sheetView>
    <sheetView workbookViewId="1"/>
  </sheetViews>
  <sheetFormatPr baseColWidth="10" defaultRowHeight="16" x14ac:dyDescent="0.2"/>
  <cols>
    <col min="1" max="1" width="6.6640625" customWidth="1"/>
    <col min="2" max="2" width="26" bestFit="1" customWidth="1"/>
    <col min="3" max="7" width="22.5" customWidth="1"/>
    <col min="8" max="8" width="16.83203125" customWidth="1"/>
  </cols>
  <sheetData>
    <row r="2" spans="1:7" ht="19" x14ac:dyDescent="0.25">
      <c r="B2" s="35" t="s">
        <v>217</v>
      </c>
    </row>
    <row r="3" spans="1:7" ht="20" thickBot="1" x14ac:dyDescent="0.3">
      <c r="B3" s="35"/>
    </row>
    <row r="4" spans="1:7" s="15" customFormat="1" ht="17" thickBot="1" x14ac:dyDescent="0.25">
      <c r="A4"/>
      <c r="B4" s="75"/>
      <c r="C4" s="58">
        <v>2024</v>
      </c>
      <c r="D4" s="59">
        <f>C4+1</f>
        <v>2025</v>
      </c>
      <c r="E4" s="59">
        <f>D4+1</f>
        <v>2026</v>
      </c>
      <c r="F4" s="59">
        <f>E4+1</f>
        <v>2027</v>
      </c>
      <c r="G4" s="134">
        <f>F4+1</f>
        <v>2028</v>
      </c>
    </row>
    <row r="5" spans="1:7" x14ac:dyDescent="0.2">
      <c r="B5" s="2" t="s">
        <v>127</v>
      </c>
      <c r="C5" s="2"/>
      <c r="G5" s="3"/>
    </row>
    <row r="6" spans="1:7" x14ac:dyDescent="0.2">
      <c r="B6" s="98" t="s">
        <v>128</v>
      </c>
      <c r="C6" s="79">
        <f>'Balance Sheet - Monthly'!N6</f>
        <v>230973.70731365436</v>
      </c>
      <c r="D6" s="48">
        <f>'Balance Sheet - Monthly'!Z6</f>
        <v>896769.79527142062</v>
      </c>
      <c r="E6" s="48">
        <f>'Balance Sheet - Monthly'!AL6</f>
        <v>388481.66579031543</v>
      </c>
      <c r="F6" s="48">
        <f>'Balance Sheet - Monthly'!AX6</f>
        <v>200906.31350733232</v>
      </c>
      <c r="G6" s="66">
        <f>'Balance Sheet - Monthly'!BJ6</f>
        <v>332378.64487081498</v>
      </c>
    </row>
    <row r="7" spans="1:7" x14ac:dyDescent="0.2">
      <c r="B7" s="98" t="s">
        <v>123</v>
      </c>
      <c r="C7" s="79">
        <f>'Balance Sheet - Monthly'!N7</f>
        <v>0</v>
      </c>
      <c r="D7" s="48">
        <f>'Balance Sheet - Monthly'!Z7</f>
        <v>0</v>
      </c>
      <c r="E7" s="48">
        <f>'Balance Sheet - Monthly'!AL7</f>
        <v>0</v>
      </c>
      <c r="F7" s="48">
        <f>'Balance Sheet - Monthly'!AX7</f>
        <v>0</v>
      </c>
      <c r="G7" s="66">
        <f>'Balance Sheet - Monthly'!BJ7</f>
        <v>0</v>
      </c>
    </row>
    <row r="8" spans="1:7" x14ac:dyDescent="0.2">
      <c r="B8" s="98" t="s">
        <v>124</v>
      </c>
      <c r="C8" s="79">
        <f>'Balance Sheet - Monthly'!N8</f>
        <v>15122.595467185323</v>
      </c>
      <c r="D8" s="48">
        <f>'Balance Sheet - Monthly'!Z8</f>
        <v>25398.38575542489</v>
      </c>
      <c r="E8" s="48">
        <f>'Balance Sheet - Monthly'!AL8</f>
        <v>28931.576082986219</v>
      </c>
      <c r="F8" s="48">
        <f>'Balance Sheet - Monthly'!AX8</f>
        <v>35775.299323453299</v>
      </c>
      <c r="G8" s="66">
        <f>'Balance Sheet - Monthly'!BJ8</f>
        <v>43264.55942148652</v>
      </c>
    </row>
    <row r="9" spans="1:7" x14ac:dyDescent="0.2">
      <c r="B9" s="98"/>
      <c r="C9" s="79"/>
      <c r="D9" s="48"/>
      <c r="E9" s="48"/>
      <c r="F9" s="48"/>
      <c r="G9" s="66"/>
    </row>
    <row r="10" spans="1:7" x14ac:dyDescent="0.2">
      <c r="B10" s="98" t="s">
        <v>125</v>
      </c>
      <c r="C10" s="79">
        <f>'Balance Sheet - Monthly'!N10</f>
        <v>34000</v>
      </c>
      <c r="D10" s="48">
        <f>'Balance Sheet - Monthly'!Z10</f>
        <v>34000</v>
      </c>
      <c r="E10" s="48">
        <f>'Balance Sheet - Monthly'!AL10</f>
        <v>34000</v>
      </c>
      <c r="F10" s="48">
        <f>'Balance Sheet - Monthly'!AX10</f>
        <v>34000</v>
      </c>
      <c r="G10" s="66">
        <f>'Balance Sheet - Monthly'!BJ10</f>
        <v>34000</v>
      </c>
    </row>
    <row r="11" spans="1:7" x14ac:dyDescent="0.2">
      <c r="B11" s="124" t="s">
        <v>126</v>
      </c>
      <c r="C11" s="79">
        <f>'Balance Sheet - Monthly'!N11</f>
        <v>-33999.999999999993</v>
      </c>
      <c r="D11" s="48">
        <f>'Balance Sheet - Monthly'!Z11</f>
        <v>-33999.999999999993</v>
      </c>
      <c r="E11" s="48">
        <f>'Balance Sheet - Monthly'!AL11</f>
        <v>-33999.999999999993</v>
      </c>
      <c r="F11" s="48">
        <f>'Balance Sheet - Monthly'!AX11</f>
        <v>-33999.999999999993</v>
      </c>
      <c r="G11" s="66">
        <f>'Balance Sheet - Monthly'!BJ11</f>
        <v>-33999.999999999993</v>
      </c>
    </row>
    <row r="12" spans="1:7" x14ac:dyDescent="0.2">
      <c r="B12" s="154" t="s">
        <v>164</v>
      </c>
      <c r="C12" s="79"/>
      <c r="D12" s="48"/>
      <c r="E12" s="48"/>
      <c r="F12" s="48"/>
      <c r="G12" s="66"/>
    </row>
    <row r="13" spans="1:7" ht="17" thickBot="1" x14ac:dyDescent="0.25">
      <c r="B13" s="124"/>
      <c r="C13" s="79"/>
      <c r="D13" s="48"/>
      <c r="E13" s="48"/>
      <c r="F13" s="48"/>
      <c r="G13" s="66"/>
    </row>
    <row r="14" spans="1:7" ht="17" thickBot="1" x14ac:dyDescent="0.25">
      <c r="B14" s="120" t="s">
        <v>19</v>
      </c>
      <c r="C14" s="100">
        <f>'Balance Sheet - Monthly'!N14</f>
        <v>246096.30278083967</v>
      </c>
      <c r="D14" s="118">
        <f>'Balance Sheet - Monthly'!Z14</f>
        <v>922168.18102684547</v>
      </c>
      <c r="E14" s="118">
        <f>'Balance Sheet - Monthly'!AL14</f>
        <v>417413.24187330162</v>
      </c>
      <c r="F14" s="118">
        <f>'Balance Sheet - Monthly'!AX14</f>
        <v>236681.61283078563</v>
      </c>
      <c r="G14" s="119">
        <f>'Balance Sheet - Monthly'!BJ14</f>
        <v>375643.2042923015</v>
      </c>
    </row>
    <row r="15" spans="1:7" x14ac:dyDescent="0.2">
      <c r="B15" s="2"/>
      <c r="C15" s="79"/>
      <c r="D15" s="48">
        <f>'Balance Sheet - Monthly'!Z15</f>
        <v>0</v>
      </c>
      <c r="E15" s="48">
        <f>'Balance Sheet - Monthly'!AL15</f>
        <v>0</v>
      </c>
      <c r="F15" s="48">
        <f>'Balance Sheet - Monthly'!AX15</f>
        <v>0</v>
      </c>
      <c r="G15" s="66">
        <f>'Balance Sheet - Monthly'!BJ15</f>
        <v>0</v>
      </c>
    </row>
    <row r="16" spans="1:7" x14ac:dyDescent="0.2">
      <c r="B16" s="126" t="s">
        <v>24</v>
      </c>
      <c r="C16" s="79">
        <f>'Balance Sheet - Monthly'!N16</f>
        <v>0</v>
      </c>
      <c r="D16" s="48">
        <f>'Balance Sheet - Monthly'!Z16</f>
        <v>0</v>
      </c>
      <c r="E16" s="48">
        <f>'Balance Sheet - Monthly'!AL16</f>
        <v>0</v>
      </c>
      <c r="F16" s="48">
        <f>'Balance Sheet - Monthly'!AX16</f>
        <v>0</v>
      </c>
      <c r="G16" s="66">
        <f>'Balance Sheet - Monthly'!BJ16</f>
        <v>0</v>
      </c>
    </row>
    <row r="17" spans="2:7" x14ac:dyDescent="0.2">
      <c r="B17" s="98" t="s">
        <v>129</v>
      </c>
      <c r="C17" s="79">
        <f>'Balance Sheet - Monthly'!N17</f>
        <v>92726.19093437065</v>
      </c>
      <c r="D17" s="48">
        <f>'Balance Sheet - Monthly'!Z17</f>
        <v>120939.77151084978</v>
      </c>
      <c r="E17" s="48">
        <f>'Balance Sheet - Monthly'!AL17</f>
        <v>133293.65216597245</v>
      </c>
      <c r="F17" s="48">
        <f>'Balance Sheet - Monthly'!AX17</f>
        <v>151446.09864690661</v>
      </c>
      <c r="G17" s="66">
        <f>'Balance Sheet - Monthly'!BJ17</f>
        <v>171141.61884297302</v>
      </c>
    </row>
    <row r="18" spans="2:7" x14ac:dyDescent="0.2">
      <c r="B18" s="98" t="s">
        <v>130</v>
      </c>
      <c r="C18" s="79">
        <f>'Balance Sheet - Monthly'!N18</f>
        <v>0</v>
      </c>
      <c r="D18" s="48">
        <f>'Balance Sheet - Monthly'!Z18</f>
        <v>0</v>
      </c>
      <c r="E18" s="48">
        <f>'Balance Sheet - Monthly'!AL18</f>
        <v>0</v>
      </c>
      <c r="F18" s="48">
        <f>'Balance Sheet - Monthly'!AX18</f>
        <v>0</v>
      </c>
      <c r="G18" s="66">
        <f>'Balance Sheet - Monthly'!BJ18</f>
        <v>0</v>
      </c>
    </row>
    <row r="19" spans="2:7" ht="17" thickBot="1" x14ac:dyDescent="0.25">
      <c r="B19" s="98" t="s">
        <v>131</v>
      </c>
      <c r="C19" s="79">
        <f>'Balance Sheet - Monthly'!N19</f>
        <v>0</v>
      </c>
      <c r="D19" s="48">
        <f>'Balance Sheet - Monthly'!Z19</f>
        <v>0</v>
      </c>
      <c r="E19" s="48">
        <f>'Balance Sheet - Monthly'!AL19</f>
        <v>0</v>
      </c>
      <c r="F19" s="48">
        <f>'Balance Sheet - Monthly'!AX19</f>
        <v>0</v>
      </c>
      <c r="G19" s="66">
        <f>'Balance Sheet - Monthly'!BJ19</f>
        <v>0</v>
      </c>
    </row>
    <row r="20" spans="2:7" ht="17" thickBot="1" x14ac:dyDescent="0.25">
      <c r="B20" s="112" t="s">
        <v>25</v>
      </c>
      <c r="C20" s="171">
        <f>'Balance Sheet - Monthly'!N20</f>
        <v>92726.19093437065</v>
      </c>
      <c r="D20" s="155">
        <f>'Balance Sheet - Monthly'!Z20</f>
        <v>120939.77151084978</v>
      </c>
      <c r="E20" s="155">
        <f>'Balance Sheet - Monthly'!AL20</f>
        <v>133293.65216597245</v>
      </c>
      <c r="F20" s="155">
        <f>'Balance Sheet - Monthly'!AX20</f>
        <v>151446.09864690661</v>
      </c>
      <c r="G20" s="156">
        <f>'Balance Sheet - Monthly'!BJ20</f>
        <v>171141.61884297302</v>
      </c>
    </row>
    <row r="21" spans="2:7" x14ac:dyDescent="0.2">
      <c r="B21" s="2"/>
      <c r="C21" s="79"/>
      <c r="D21" s="48">
        <f>'Balance Sheet - Monthly'!Z21</f>
        <v>0</v>
      </c>
      <c r="E21" s="48">
        <f>'Balance Sheet - Monthly'!AL21</f>
        <v>0</v>
      </c>
      <c r="F21" s="48">
        <f>'Balance Sheet - Monthly'!AX21</f>
        <v>0</v>
      </c>
      <c r="G21" s="66">
        <f>'Balance Sheet - Monthly'!BJ21</f>
        <v>0</v>
      </c>
    </row>
    <row r="22" spans="2:7" x14ac:dyDescent="0.2">
      <c r="B22" s="126" t="s">
        <v>132</v>
      </c>
      <c r="C22" s="79">
        <f>'Balance Sheet - Monthly'!N22</f>
        <v>0</v>
      </c>
      <c r="D22" s="48">
        <f>'Balance Sheet - Monthly'!Z22</f>
        <v>0</v>
      </c>
      <c r="E22" s="48">
        <f>'Balance Sheet - Monthly'!AL22</f>
        <v>0</v>
      </c>
      <c r="F22" s="48">
        <f>'Balance Sheet - Monthly'!AX22</f>
        <v>0</v>
      </c>
      <c r="G22" s="66">
        <f>'Balance Sheet - Monthly'!BJ22</f>
        <v>0</v>
      </c>
    </row>
    <row r="23" spans="2:7" x14ac:dyDescent="0.2">
      <c r="B23" s="98" t="s">
        <v>133</v>
      </c>
      <c r="C23" s="79">
        <f>'Balance Sheet - Monthly'!N23</f>
        <v>750000</v>
      </c>
      <c r="D23" s="48">
        <f>'Balance Sheet - Monthly'!Z23</f>
        <v>1750000</v>
      </c>
      <c r="E23" s="48">
        <f>'Balance Sheet - Monthly'!AL23</f>
        <v>1750000</v>
      </c>
      <c r="F23" s="48">
        <f>'Balance Sheet - Monthly'!AX23</f>
        <v>1750000</v>
      </c>
      <c r="G23" s="66">
        <f>'Balance Sheet - Monthly'!BJ23</f>
        <v>1750000</v>
      </c>
    </row>
    <row r="24" spans="2:7" ht="17" thickBot="1" x14ac:dyDescent="0.25">
      <c r="B24" s="98" t="s">
        <v>134</v>
      </c>
      <c r="C24" s="79">
        <f>'Balance Sheet - Monthly'!N24</f>
        <v>-596629.88815353101</v>
      </c>
      <c r="D24" s="48">
        <f>'Balance Sheet - Monthly'!Z24</f>
        <v>-948771.59048400423</v>
      </c>
      <c r="E24" s="48">
        <f>'Balance Sheet - Monthly'!AL24</f>
        <v>-1465880.4102926708</v>
      </c>
      <c r="F24" s="48">
        <f>'Balance Sheet - Monthly'!AX24</f>
        <v>-1664764.4858161209</v>
      </c>
      <c r="G24" s="66">
        <f>'Balance Sheet - Monthly'!BJ24</f>
        <v>-1545498.4145506718</v>
      </c>
    </row>
    <row r="25" spans="2:7" ht="17" thickBot="1" x14ac:dyDescent="0.25">
      <c r="B25" s="112" t="s">
        <v>135</v>
      </c>
      <c r="C25" s="171">
        <f>'Balance Sheet - Monthly'!N25</f>
        <v>153370.11184646899</v>
      </c>
      <c r="D25" s="155">
        <f>'Balance Sheet - Monthly'!Z25</f>
        <v>801228.40951599577</v>
      </c>
      <c r="E25" s="155">
        <f>'Balance Sheet - Monthly'!AL25</f>
        <v>284119.58970732917</v>
      </c>
      <c r="F25" s="155">
        <f>'Balance Sheet - Monthly'!AX25</f>
        <v>85235.514183879131</v>
      </c>
      <c r="G25" s="156">
        <f>'Balance Sheet - Monthly'!BJ25</f>
        <v>204501.58544932818</v>
      </c>
    </row>
    <row r="26" spans="2:7" ht="17" thickBot="1" x14ac:dyDescent="0.25">
      <c r="B26" s="98"/>
      <c r="C26" s="79"/>
      <c r="D26" s="48">
        <f>'Balance Sheet - Monthly'!Z26</f>
        <v>0</v>
      </c>
      <c r="E26" s="48">
        <f>'Balance Sheet - Monthly'!AL26</f>
        <v>0</v>
      </c>
      <c r="F26" s="48">
        <f>'Balance Sheet - Monthly'!AX26</f>
        <v>0</v>
      </c>
      <c r="G26" s="66">
        <f>'Balance Sheet - Monthly'!BJ26</f>
        <v>0</v>
      </c>
    </row>
    <row r="27" spans="2:7" ht="17" thickBot="1" x14ac:dyDescent="0.25">
      <c r="B27" s="100" t="s">
        <v>136</v>
      </c>
      <c r="C27" s="100">
        <f>'Balance Sheet - Monthly'!N27</f>
        <v>246096.30278083964</v>
      </c>
      <c r="D27" s="118">
        <f>'Balance Sheet - Monthly'!Z27</f>
        <v>922168.18102684559</v>
      </c>
      <c r="E27" s="118">
        <f>'Balance Sheet - Monthly'!AL27</f>
        <v>417413.24187330162</v>
      </c>
      <c r="F27" s="118">
        <f>'Balance Sheet - Monthly'!AX27</f>
        <v>236681.61283078574</v>
      </c>
      <c r="G27" s="119">
        <f>'Balance Sheet - Monthly'!BJ27</f>
        <v>375643.2042923012</v>
      </c>
    </row>
    <row r="29" spans="2:7" x14ac:dyDescent="0.2">
      <c r="B29" s="31" t="s">
        <v>165</v>
      </c>
      <c r="C29" s="107">
        <f>ROUND(C14-C27,2)</f>
        <v>0</v>
      </c>
      <c r="D29" s="107">
        <f t="shared" ref="D29:G29" si="0">ROUND(D14-D27,2)</f>
        <v>0</v>
      </c>
      <c r="E29" s="107">
        <f t="shared" si="0"/>
        <v>0</v>
      </c>
      <c r="F29" s="107">
        <f t="shared" si="0"/>
        <v>0</v>
      </c>
      <c r="G29" s="10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70FE-0D36-9440-B0FB-D58B536537F0}">
  <dimension ref="B2:BK13"/>
  <sheetViews>
    <sheetView zoomScale="180" zoomScaleNormal="180" workbookViewId="0">
      <pane xSplit="2" ySplit="4" topLeftCell="AZ5" activePane="bottomRight" state="frozen"/>
      <selection activeCell="H9" sqref="H9"/>
      <selection pane="topRight" activeCell="H9" sqref="H9"/>
      <selection pane="bottomLeft" activeCell="H9" sqref="H9"/>
      <selection pane="bottomRight" activeCell="BJ13" sqref="BJ13"/>
    </sheetView>
    <sheetView workbookViewId="1"/>
  </sheetViews>
  <sheetFormatPr baseColWidth="10" defaultRowHeight="16" x14ac:dyDescent="0.2"/>
  <cols>
    <col min="1" max="1" width="6.6640625" customWidth="1"/>
    <col min="2" max="2" width="23.1640625" bestFit="1" customWidth="1"/>
  </cols>
  <sheetData>
    <row r="2" spans="2:63" ht="19" x14ac:dyDescent="0.25">
      <c r="B2" s="35" t="s">
        <v>168</v>
      </c>
    </row>
    <row r="3" spans="2:63" ht="17" thickBot="1" x14ac:dyDescent="0.25"/>
    <row r="4" spans="2:63" x14ac:dyDescent="0.2">
      <c r="B4" s="286"/>
      <c r="C4" s="289">
        <f>'Kiosk P&amp;L'!D4</f>
        <v>45292</v>
      </c>
      <c r="D4" s="290">
        <f>'Kiosk P&amp;L'!E4</f>
        <v>45323</v>
      </c>
      <c r="E4" s="290">
        <f>'Kiosk P&amp;L'!F4</f>
        <v>45352</v>
      </c>
      <c r="F4" s="290">
        <f>'Kiosk P&amp;L'!G4</f>
        <v>45383</v>
      </c>
      <c r="G4" s="40">
        <f>'Kiosk P&amp;L'!H4</f>
        <v>45413</v>
      </c>
      <c r="H4" s="40">
        <f>'Kiosk P&amp;L'!I4</f>
        <v>45444</v>
      </c>
      <c r="I4" s="40">
        <f>'Kiosk P&amp;L'!J4</f>
        <v>45474</v>
      </c>
      <c r="J4" s="40">
        <f>'Kiosk P&amp;L'!K4</f>
        <v>45505</v>
      </c>
      <c r="K4" s="40">
        <f>'Kiosk P&amp;L'!L4</f>
        <v>45536</v>
      </c>
      <c r="L4" s="40">
        <f>'Kiosk P&amp;L'!M4</f>
        <v>45566</v>
      </c>
      <c r="M4" s="40">
        <f>'Kiosk P&amp;L'!N4</f>
        <v>45597</v>
      </c>
      <c r="N4" s="41">
        <f>'Kiosk P&amp;L'!O4</f>
        <v>45627</v>
      </c>
      <c r="O4" s="40">
        <f>'Kiosk P&amp;L'!P4</f>
        <v>45658</v>
      </c>
      <c r="P4" s="40">
        <f>'Kiosk P&amp;L'!Q4</f>
        <v>45689</v>
      </c>
      <c r="Q4" s="40">
        <f>'Kiosk P&amp;L'!R4</f>
        <v>45717</v>
      </c>
      <c r="R4" s="40">
        <f>'Kiosk P&amp;L'!S4</f>
        <v>45748</v>
      </c>
      <c r="S4" s="40">
        <f>'Kiosk P&amp;L'!T4</f>
        <v>45778</v>
      </c>
      <c r="T4" s="40">
        <f>'Kiosk P&amp;L'!U4</f>
        <v>45809</v>
      </c>
      <c r="U4" s="40">
        <f>'Kiosk P&amp;L'!V4</f>
        <v>45839</v>
      </c>
      <c r="V4" s="40">
        <f>'Kiosk P&amp;L'!W4</f>
        <v>45870</v>
      </c>
      <c r="W4" s="40">
        <f>'Kiosk P&amp;L'!X4</f>
        <v>45901</v>
      </c>
      <c r="X4" s="40">
        <f>'Kiosk P&amp;L'!Y4</f>
        <v>45931</v>
      </c>
      <c r="Y4" s="40">
        <f>'Kiosk P&amp;L'!Z4</f>
        <v>45962</v>
      </c>
      <c r="Z4" s="40">
        <f>'Kiosk P&amp;L'!AA4</f>
        <v>45992</v>
      </c>
      <c r="AA4" s="167">
        <f>'Kiosk P&amp;L'!AB4</f>
        <v>46023</v>
      </c>
      <c r="AB4" s="40">
        <f>'Kiosk P&amp;L'!AC4</f>
        <v>46054</v>
      </c>
      <c r="AC4" s="40">
        <f>'Kiosk P&amp;L'!AD4</f>
        <v>46082</v>
      </c>
      <c r="AD4" s="40">
        <f>'Kiosk P&amp;L'!AE4</f>
        <v>46113</v>
      </c>
      <c r="AE4" s="40">
        <f>'Kiosk P&amp;L'!AF4</f>
        <v>46143</v>
      </c>
      <c r="AF4" s="40">
        <f>'Kiosk P&amp;L'!AG4</f>
        <v>46174</v>
      </c>
      <c r="AG4" s="40">
        <f>'Kiosk P&amp;L'!AH4</f>
        <v>46204</v>
      </c>
      <c r="AH4" s="40">
        <f>'Kiosk P&amp;L'!AI4</f>
        <v>46235</v>
      </c>
      <c r="AI4" s="40">
        <f>'Kiosk P&amp;L'!AJ4</f>
        <v>46266</v>
      </c>
      <c r="AJ4" s="40">
        <f>'Kiosk P&amp;L'!AK4</f>
        <v>46296</v>
      </c>
      <c r="AK4" s="40">
        <f>'Kiosk P&amp;L'!AL4</f>
        <v>46327</v>
      </c>
      <c r="AL4" s="41">
        <f>'Kiosk P&amp;L'!AM4</f>
        <v>46357</v>
      </c>
      <c r="AM4" s="40">
        <f>'Kiosk P&amp;L'!AN4</f>
        <v>46388</v>
      </c>
      <c r="AN4" s="40">
        <f>'Kiosk P&amp;L'!AO4</f>
        <v>46419</v>
      </c>
      <c r="AO4" s="40">
        <f>'Kiosk P&amp;L'!AP4</f>
        <v>46447</v>
      </c>
      <c r="AP4" s="40">
        <f>'Kiosk P&amp;L'!AQ4</f>
        <v>46478</v>
      </c>
      <c r="AQ4" s="40">
        <f>'Kiosk P&amp;L'!AR4</f>
        <v>46508</v>
      </c>
      <c r="AR4" s="40">
        <f>'Kiosk P&amp;L'!AS4</f>
        <v>46539</v>
      </c>
      <c r="AS4" s="40">
        <f>'Kiosk P&amp;L'!AT4</f>
        <v>46569</v>
      </c>
      <c r="AT4" s="40">
        <f>'Kiosk P&amp;L'!AU4</f>
        <v>46600</v>
      </c>
      <c r="AU4" s="40">
        <f>'Kiosk P&amp;L'!AV4</f>
        <v>46631</v>
      </c>
      <c r="AV4" s="40">
        <f>'Kiosk P&amp;L'!AW4</f>
        <v>46661</v>
      </c>
      <c r="AW4" s="40">
        <f>'Kiosk P&amp;L'!AX4</f>
        <v>46692</v>
      </c>
      <c r="AX4" s="40">
        <f>'Kiosk P&amp;L'!AY4</f>
        <v>46722</v>
      </c>
      <c r="AY4" s="167">
        <f>'Kiosk P&amp;L'!AZ4</f>
        <v>46753</v>
      </c>
      <c r="AZ4" s="40">
        <f>'Kiosk P&amp;L'!BA4</f>
        <v>46784</v>
      </c>
      <c r="BA4" s="40">
        <f>'Kiosk P&amp;L'!BB4</f>
        <v>46813</v>
      </c>
      <c r="BB4" s="40">
        <f>'Kiosk P&amp;L'!BC4</f>
        <v>46844</v>
      </c>
      <c r="BC4" s="40">
        <f>'Kiosk P&amp;L'!BD4</f>
        <v>46874</v>
      </c>
      <c r="BD4" s="40">
        <f>'Kiosk P&amp;L'!BE4</f>
        <v>46905</v>
      </c>
      <c r="BE4" s="40">
        <f>'Kiosk P&amp;L'!BF4</f>
        <v>46935</v>
      </c>
      <c r="BF4" s="40">
        <f>'Kiosk P&amp;L'!BG4</f>
        <v>46966</v>
      </c>
      <c r="BG4" s="40">
        <f>'Kiosk P&amp;L'!BH4</f>
        <v>46997</v>
      </c>
      <c r="BH4" s="40">
        <f>'Kiosk P&amp;L'!BI4</f>
        <v>47027</v>
      </c>
      <c r="BI4" s="40">
        <f>'Kiosk P&amp;L'!BJ4</f>
        <v>47058</v>
      </c>
      <c r="BJ4" s="41">
        <f>'Kiosk P&amp;L'!BK4</f>
        <v>47088</v>
      </c>
      <c r="BK4" s="22"/>
    </row>
    <row r="5" spans="2:63" x14ac:dyDescent="0.2">
      <c r="B5" s="287"/>
      <c r="C5" s="274"/>
      <c r="D5" s="275"/>
      <c r="E5" s="275"/>
      <c r="F5" s="275"/>
      <c r="N5" s="3"/>
      <c r="AA5" s="2"/>
      <c r="AL5" s="3"/>
      <c r="AY5" s="2"/>
      <c r="BJ5" s="3"/>
    </row>
    <row r="6" spans="2:63" x14ac:dyDescent="0.2">
      <c r="B6" s="287" t="s">
        <v>57</v>
      </c>
      <c r="C6" s="274">
        <v>0</v>
      </c>
      <c r="D6" s="275">
        <v>0</v>
      </c>
      <c r="E6" s="275">
        <v>0</v>
      </c>
      <c r="F6" s="275">
        <v>0</v>
      </c>
      <c r="G6" s="163">
        <f t="shared" ref="G6" si="0">F10</f>
        <v>132</v>
      </c>
      <c r="H6" s="163">
        <f t="shared" ref="H6" si="1">G10</f>
        <v>357</v>
      </c>
      <c r="I6" s="163">
        <f t="shared" ref="I6" si="2">H10</f>
        <v>576</v>
      </c>
      <c r="J6" s="163">
        <f t="shared" ref="J6" si="3">I10</f>
        <v>791</v>
      </c>
      <c r="K6" s="163">
        <f t="shared" ref="K6" si="4">J10</f>
        <v>1000</v>
      </c>
      <c r="L6" s="163">
        <f t="shared" ref="L6" si="5">K10</f>
        <v>1204</v>
      </c>
      <c r="M6" s="163">
        <f t="shared" ref="M6" si="6">L10</f>
        <v>1403</v>
      </c>
      <c r="N6" s="163">
        <f t="shared" ref="N6" si="7">M10</f>
        <v>1597</v>
      </c>
      <c r="O6" s="163">
        <f t="shared" ref="O6" si="8">N10</f>
        <v>1786</v>
      </c>
      <c r="P6" s="163">
        <f t="shared" ref="P6" si="9">O10</f>
        <v>1970</v>
      </c>
      <c r="Q6" s="163">
        <f t="shared" ref="Q6" si="10">P10</f>
        <v>2151</v>
      </c>
      <c r="R6" s="163">
        <f t="shared" ref="R6" si="11">Q10</f>
        <v>2327</v>
      </c>
      <c r="S6" s="163">
        <f t="shared" ref="S6" si="12">R10</f>
        <v>2499</v>
      </c>
      <c r="T6" s="163">
        <f t="shared" ref="T6" si="13">S10</f>
        <v>2667</v>
      </c>
      <c r="U6" s="163">
        <f t="shared" ref="U6" si="14">T10</f>
        <v>2831</v>
      </c>
      <c r="V6" s="163">
        <f t="shared" ref="V6" si="15">U10</f>
        <v>2991</v>
      </c>
      <c r="W6" s="163">
        <f t="shared" ref="W6" si="16">V10</f>
        <v>3147</v>
      </c>
      <c r="X6" s="163">
        <f t="shared" ref="X6" si="17">W10</f>
        <v>3300</v>
      </c>
      <c r="Y6" s="163">
        <f t="shared" ref="Y6" si="18">X10</f>
        <v>3449</v>
      </c>
      <c r="Z6" s="163">
        <f t="shared" ref="Z6" si="19">Y10</f>
        <v>3595</v>
      </c>
      <c r="AA6" s="163">
        <f t="shared" ref="AA6" si="20">Z10</f>
        <v>3738</v>
      </c>
      <c r="AB6" s="163">
        <f t="shared" ref="AB6" si="21">AA10</f>
        <v>3878</v>
      </c>
      <c r="AC6" s="163">
        <f t="shared" ref="AC6" si="22">AB10</f>
        <v>4015</v>
      </c>
      <c r="AD6" s="163">
        <f t="shared" ref="AD6" si="23">AC10</f>
        <v>4149</v>
      </c>
      <c r="AE6" s="163">
        <f t="shared" ref="AE6" si="24">AD10</f>
        <v>4280</v>
      </c>
      <c r="AF6" s="163">
        <f t="shared" ref="AF6" si="25">AE10</f>
        <v>4408</v>
      </c>
      <c r="AG6" s="163">
        <f t="shared" ref="AG6" si="26">AF10</f>
        <v>4534</v>
      </c>
      <c r="AH6" s="163">
        <f t="shared" ref="AH6" si="27">AG10</f>
        <v>4658</v>
      </c>
      <c r="AI6" s="163">
        <f t="shared" ref="AI6" si="28">AH10</f>
        <v>4780</v>
      </c>
      <c r="AJ6" s="163">
        <f t="shared" ref="AJ6" si="29">AI10</f>
        <v>4898</v>
      </c>
      <c r="AK6" s="163">
        <f t="shared" ref="AK6" si="30">AJ10</f>
        <v>5015</v>
      </c>
      <c r="AL6" s="163">
        <f t="shared" ref="AL6" si="31">AK10</f>
        <v>5130</v>
      </c>
      <c r="AM6" s="163">
        <f t="shared" ref="AM6" si="32">AL10</f>
        <v>5243</v>
      </c>
      <c r="AN6" s="163">
        <f t="shared" ref="AN6" si="33">AM10</f>
        <v>5355</v>
      </c>
      <c r="AO6" s="163">
        <f t="shared" ref="AO6" si="34">AN10</f>
        <v>5465</v>
      </c>
      <c r="AP6" s="163">
        <f t="shared" ref="AP6" si="35">AO10</f>
        <v>5573</v>
      </c>
      <c r="AQ6" s="163">
        <f t="shared" ref="AQ6" si="36">AP10</f>
        <v>5681</v>
      </c>
      <c r="AR6" s="163">
        <f t="shared" ref="AR6" si="37">AQ10</f>
        <v>5787</v>
      </c>
      <c r="AS6" s="163">
        <f t="shared" ref="AS6" si="38">AR10</f>
        <v>5892</v>
      </c>
      <c r="AT6" s="163">
        <f t="shared" ref="AT6" si="39">AS10</f>
        <v>5997</v>
      </c>
      <c r="AU6" s="163">
        <f t="shared" ref="AU6" si="40">AT10</f>
        <v>6101</v>
      </c>
      <c r="AV6" s="163">
        <f t="shared" ref="AV6" si="41">AU10</f>
        <v>6204</v>
      </c>
      <c r="AW6" s="163">
        <f t="shared" ref="AW6" si="42">AV10</f>
        <v>6307</v>
      </c>
      <c r="AX6" s="163">
        <f t="shared" ref="AX6" si="43">AW10</f>
        <v>6410</v>
      </c>
      <c r="AY6" s="163">
        <f t="shared" ref="AY6" si="44">AX10</f>
        <v>6513</v>
      </c>
      <c r="AZ6" s="163">
        <f t="shared" ref="AZ6" si="45">AY10</f>
        <v>6616</v>
      </c>
      <c r="BA6" s="163">
        <f t="shared" ref="BA6" si="46">AZ10</f>
        <v>6721</v>
      </c>
      <c r="BB6" s="163">
        <f t="shared" ref="BB6" si="47">BA10</f>
        <v>6826</v>
      </c>
      <c r="BC6" s="163">
        <f t="shared" ref="BC6" si="48">BB10</f>
        <v>6932</v>
      </c>
      <c r="BD6" s="163">
        <f t="shared" ref="BD6" si="49">BC10</f>
        <v>7040</v>
      </c>
      <c r="BE6" s="163">
        <f t="shared" ref="BE6" si="50">BD10</f>
        <v>7149</v>
      </c>
      <c r="BF6" s="163">
        <f t="shared" ref="BF6" si="51">BE10</f>
        <v>7259</v>
      </c>
      <c r="BG6" s="163">
        <f t="shared" ref="BG6" si="52">BF10</f>
        <v>7372</v>
      </c>
      <c r="BH6" s="163">
        <f t="shared" ref="BH6" si="53">BG10</f>
        <v>7488</v>
      </c>
      <c r="BI6" s="163">
        <f t="shared" ref="BI6" si="54">BH10</f>
        <v>7607</v>
      </c>
      <c r="BJ6" s="163">
        <f t="shared" ref="BJ6" si="55">BI10</f>
        <v>7729</v>
      </c>
    </row>
    <row r="7" spans="2:63" x14ac:dyDescent="0.2">
      <c r="B7" s="287" t="s">
        <v>58</v>
      </c>
      <c r="C7" s="291">
        <v>0</v>
      </c>
      <c r="D7" s="292">
        <v>0</v>
      </c>
      <c r="E7" s="292">
        <v>0</v>
      </c>
      <c r="F7" s="292">
        <v>132</v>
      </c>
      <c r="G7" s="69">
        <f>'Marketing Detail'!G60</f>
        <v>228</v>
      </c>
      <c r="H7" s="69">
        <f>'Marketing Detail'!H60</f>
        <v>228</v>
      </c>
      <c r="I7" s="69">
        <f>'Marketing Detail'!I60</f>
        <v>229</v>
      </c>
      <c r="J7" s="69">
        <f>'Marketing Detail'!J60</f>
        <v>229</v>
      </c>
      <c r="K7" s="69">
        <f>'Marketing Detail'!K60</f>
        <v>229</v>
      </c>
      <c r="L7" s="69">
        <f>'Marketing Detail'!L60</f>
        <v>229</v>
      </c>
      <c r="M7" s="69">
        <f>'Marketing Detail'!M60</f>
        <v>229</v>
      </c>
      <c r="N7" s="69">
        <f>'Marketing Detail'!N60</f>
        <v>229</v>
      </c>
      <c r="O7" s="69">
        <f>'Marketing Detail'!O60</f>
        <v>229</v>
      </c>
      <c r="P7" s="69">
        <f>'Marketing Detail'!P60</f>
        <v>230</v>
      </c>
      <c r="Q7" s="69">
        <f>'Marketing Detail'!Q60</f>
        <v>230</v>
      </c>
      <c r="R7" s="69">
        <f>'Marketing Detail'!R60</f>
        <v>230</v>
      </c>
      <c r="S7" s="69">
        <f>'Marketing Detail'!S60</f>
        <v>230</v>
      </c>
      <c r="T7" s="69">
        <f>'Marketing Detail'!T60</f>
        <v>231</v>
      </c>
      <c r="U7" s="69">
        <f>'Marketing Detail'!U60</f>
        <v>231</v>
      </c>
      <c r="V7" s="69">
        <f>'Marketing Detail'!V60</f>
        <v>231</v>
      </c>
      <c r="W7" s="69">
        <f>'Marketing Detail'!W60</f>
        <v>232</v>
      </c>
      <c r="X7" s="69">
        <f>'Marketing Detail'!X60</f>
        <v>232</v>
      </c>
      <c r="Y7" s="69">
        <f>'Marketing Detail'!Y60</f>
        <v>232</v>
      </c>
      <c r="Z7" s="69">
        <f>'Marketing Detail'!Z60</f>
        <v>233</v>
      </c>
      <c r="AA7" s="69">
        <f>'Marketing Detail'!AA60</f>
        <v>233</v>
      </c>
      <c r="AB7" s="69">
        <f>'Marketing Detail'!AB60</f>
        <v>234</v>
      </c>
      <c r="AC7" s="69">
        <f>'Marketing Detail'!AC60</f>
        <v>234</v>
      </c>
      <c r="AD7" s="69">
        <f>'Marketing Detail'!AD60</f>
        <v>235</v>
      </c>
      <c r="AE7" s="69">
        <f>'Marketing Detail'!AE60</f>
        <v>235</v>
      </c>
      <c r="AF7" s="69">
        <f>'Marketing Detail'!AF60</f>
        <v>236</v>
      </c>
      <c r="AG7" s="69">
        <f>'Marketing Detail'!AG60</f>
        <v>237</v>
      </c>
      <c r="AH7" s="69">
        <f>'Marketing Detail'!AH60</f>
        <v>238</v>
      </c>
      <c r="AI7" s="69">
        <f>'Marketing Detail'!AI60</f>
        <v>238</v>
      </c>
      <c r="AJ7" s="69">
        <f>'Marketing Detail'!AJ60</f>
        <v>239</v>
      </c>
      <c r="AK7" s="69">
        <f>'Marketing Detail'!AK60</f>
        <v>240</v>
      </c>
      <c r="AL7" s="69">
        <f>'Marketing Detail'!AL60</f>
        <v>241</v>
      </c>
      <c r="AM7" s="69">
        <f>'Marketing Detail'!AM60</f>
        <v>243</v>
      </c>
      <c r="AN7" s="69">
        <f>'Marketing Detail'!AN60</f>
        <v>244</v>
      </c>
      <c r="AO7" s="69">
        <f>'Marketing Detail'!AO60</f>
        <v>245</v>
      </c>
      <c r="AP7" s="69">
        <f>'Marketing Detail'!AP60</f>
        <v>247</v>
      </c>
      <c r="AQ7" s="69">
        <f>'Marketing Detail'!AQ60</f>
        <v>248</v>
      </c>
      <c r="AR7" s="69">
        <f>'Marketing Detail'!AR60</f>
        <v>250</v>
      </c>
      <c r="AS7" s="69">
        <f>'Marketing Detail'!AS60</f>
        <v>252</v>
      </c>
      <c r="AT7" s="69">
        <f>'Marketing Detail'!AT60</f>
        <v>254</v>
      </c>
      <c r="AU7" s="69">
        <f>'Marketing Detail'!AU60</f>
        <v>256</v>
      </c>
      <c r="AV7" s="69">
        <f>'Marketing Detail'!AV60</f>
        <v>258</v>
      </c>
      <c r="AW7" s="69">
        <f>'Marketing Detail'!AW60</f>
        <v>261</v>
      </c>
      <c r="AX7" s="69">
        <f>'Marketing Detail'!AX60</f>
        <v>263</v>
      </c>
      <c r="AY7" s="69">
        <f>'Marketing Detail'!AY60</f>
        <v>266</v>
      </c>
      <c r="AZ7" s="69">
        <f>'Marketing Detail'!AZ60</f>
        <v>270</v>
      </c>
      <c r="BA7" s="69">
        <f>'Marketing Detail'!BA60</f>
        <v>273</v>
      </c>
      <c r="BB7" s="69">
        <f>'Marketing Detail'!BB60</f>
        <v>277</v>
      </c>
      <c r="BC7" s="69">
        <f>'Marketing Detail'!BC60</f>
        <v>281</v>
      </c>
      <c r="BD7" s="69">
        <f>'Marketing Detail'!BD60</f>
        <v>285</v>
      </c>
      <c r="BE7" s="69">
        <f>'Marketing Detail'!BE60</f>
        <v>289</v>
      </c>
      <c r="BF7" s="69">
        <f>'Marketing Detail'!BF60</f>
        <v>294</v>
      </c>
      <c r="BG7" s="69">
        <f>'Marketing Detail'!BG60</f>
        <v>300</v>
      </c>
      <c r="BH7" s="69">
        <f>'Marketing Detail'!BH60</f>
        <v>306</v>
      </c>
      <c r="BI7" s="69">
        <f>'Marketing Detail'!BI60</f>
        <v>312</v>
      </c>
      <c r="BJ7" s="69">
        <f>'Marketing Detail'!BJ60</f>
        <v>319</v>
      </c>
    </row>
    <row r="8" spans="2:63" x14ac:dyDescent="0.2">
      <c r="B8" s="287" t="s">
        <v>89</v>
      </c>
      <c r="C8" s="293"/>
      <c r="D8" s="294"/>
      <c r="E8" s="294"/>
      <c r="F8" s="294"/>
      <c r="G8" s="164">
        <f t="shared" ref="G8:BJ8" si="56">MonthlyChurnPercentage</f>
        <v>2.5000000000000001E-2</v>
      </c>
      <c r="H8" s="164">
        <f t="shared" si="56"/>
        <v>2.5000000000000001E-2</v>
      </c>
      <c r="I8" s="164">
        <f t="shared" si="56"/>
        <v>2.5000000000000001E-2</v>
      </c>
      <c r="J8" s="164">
        <f t="shared" si="56"/>
        <v>2.5000000000000001E-2</v>
      </c>
      <c r="K8" s="164">
        <f t="shared" si="56"/>
        <v>2.5000000000000001E-2</v>
      </c>
      <c r="L8" s="164">
        <f t="shared" si="56"/>
        <v>2.5000000000000001E-2</v>
      </c>
      <c r="M8" s="164">
        <f t="shared" si="56"/>
        <v>2.5000000000000001E-2</v>
      </c>
      <c r="N8" s="164">
        <f t="shared" si="56"/>
        <v>2.5000000000000001E-2</v>
      </c>
      <c r="O8" s="164">
        <f t="shared" si="56"/>
        <v>2.5000000000000001E-2</v>
      </c>
      <c r="P8" s="164">
        <f t="shared" si="56"/>
        <v>2.5000000000000001E-2</v>
      </c>
      <c r="Q8" s="164">
        <f t="shared" si="56"/>
        <v>2.5000000000000001E-2</v>
      </c>
      <c r="R8" s="164">
        <f t="shared" si="56"/>
        <v>2.5000000000000001E-2</v>
      </c>
      <c r="S8" s="164">
        <f t="shared" si="56"/>
        <v>2.5000000000000001E-2</v>
      </c>
      <c r="T8" s="164">
        <f t="shared" si="56"/>
        <v>2.5000000000000001E-2</v>
      </c>
      <c r="U8" s="164">
        <f t="shared" si="56"/>
        <v>2.5000000000000001E-2</v>
      </c>
      <c r="V8" s="164">
        <f t="shared" si="56"/>
        <v>2.5000000000000001E-2</v>
      </c>
      <c r="W8" s="164">
        <f t="shared" si="56"/>
        <v>2.5000000000000001E-2</v>
      </c>
      <c r="X8" s="164">
        <f t="shared" si="56"/>
        <v>2.5000000000000001E-2</v>
      </c>
      <c r="Y8" s="164">
        <f t="shared" si="56"/>
        <v>2.5000000000000001E-2</v>
      </c>
      <c r="Z8" s="164">
        <f t="shared" si="56"/>
        <v>2.5000000000000001E-2</v>
      </c>
      <c r="AA8" s="164">
        <f t="shared" si="56"/>
        <v>2.5000000000000001E-2</v>
      </c>
      <c r="AB8" s="164">
        <f t="shared" si="56"/>
        <v>2.5000000000000001E-2</v>
      </c>
      <c r="AC8" s="164">
        <f t="shared" si="56"/>
        <v>2.5000000000000001E-2</v>
      </c>
      <c r="AD8" s="164">
        <f t="shared" si="56"/>
        <v>2.5000000000000001E-2</v>
      </c>
      <c r="AE8" s="164">
        <f t="shared" si="56"/>
        <v>2.5000000000000001E-2</v>
      </c>
      <c r="AF8" s="164">
        <f t="shared" si="56"/>
        <v>2.5000000000000001E-2</v>
      </c>
      <c r="AG8" s="164">
        <f t="shared" si="56"/>
        <v>2.5000000000000001E-2</v>
      </c>
      <c r="AH8" s="164">
        <f t="shared" si="56"/>
        <v>2.5000000000000001E-2</v>
      </c>
      <c r="AI8" s="164">
        <f t="shared" si="56"/>
        <v>2.5000000000000001E-2</v>
      </c>
      <c r="AJ8" s="164">
        <f t="shared" si="56"/>
        <v>2.5000000000000001E-2</v>
      </c>
      <c r="AK8" s="164">
        <f t="shared" si="56"/>
        <v>2.5000000000000001E-2</v>
      </c>
      <c r="AL8" s="164">
        <f t="shared" si="56"/>
        <v>2.5000000000000001E-2</v>
      </c>
      <c r="AM8" s="164">
        <f t="shared" si="56"/>
        <v>2.5000000000000001E-2</v>
      </c>
      <c r="AN8" s="164">
        <f t="shared" si="56"/>
        <v>2.5000000000000001E-2</v>
      </c>
      <c r="AO8" s="164">
        <f t="shared" si="56"/>
        <v>2.5000000000000001E-2</v>
      </c>
      <c r="AP8" s="164">
        <f t="shared" si="56"/>
        <v>2.5000000000000001E-2</v>
      </c>
      <c r="AQ8" s="164">
        <f t="shared" si="56"/>
        <v>2.5000000000000001E-2</v>
      </c>
      <c r="AR8" s="164">
        <f t="shared" si="56"/>
        <v>2.5000000000000001E-2</v>
      </c>
      <c r="AS8" s="164">
        <f t="shared" si="56"/>
        <v>2.5000000000000001E-2</v>
      </c>
      <c r="AT8" s="164">
        <f t="shared" si="56"/>
        <v>2.5000000000000001E-2</v>
      </c>
      <c r="AU8" s="164">
        <f t="shared" si="56"/>
        <v>2.5000000000000001E-2</v>
      </c>
      <c r="AV8" s="164">
        <f t="shared" si="56"/>
        <v>2.5000000000000001E-2</v>
      </c>
      <c r="AW8" s="164">
        <f t="shared" si="56"/>
        <v>2.5000000000000001E-2</v>
      </c>
      <c r="AX8" s="164">
        <f t="shared" si="56"/>
        <v>2.5000000000000001E-2</v>
      </c>
      <c r="AY8" s="164">
        <f t="shared" si="56"/>
        <v>2.5000000000000001E-2</v>
      </c>
      <c r="AZ8" s="164">
        <f t="shared" si="56"/>
        <v>2.5000000000000001E-2</v>
      </c>
      <c r="BA8" s="164">
        <f t="shared" si="56"/>
        <v>2.5000000000000001E-2</v>
      </c>
      <c r="BB8" s="164">
        <f t="shared" si="56"/>
        <v>2.5000000000000001E-2</v>
      </c>
      <c r="BC8" s="164">
        <f t="shared" si="56"/>
        <v>2.5000000000000001E-2</v>
      </c>
      <c r="BD8" s="164">
        <f t="shared" si="56"/>
        <v>2.5000000000000001E-2</v>
      </c>
      <c r="BE8" s="164">
        <f t="shared" si="56"/>
        <v>2.5000000000000001E-2</v>
      </c>
      <c r="BF8" s="164">
        <f t="shared" si="56"/>
        <v>2.5000000000000001E-2</v>
      </c>
      <c r="BG8" s="164">
        <f t="shared" si="56"/>
        <v>2.5000000000000001E-2</v>
      </c>
      <c r="BH8" s="164">
        <f t="shared" si="56"/>
        <v>2.5000000000000001E-2</v>
      </c>
      <c r="BI8" s="164">
        <f t="shared" si="56"/>
        <v>2.5000000000000001E-2</v>
      </c>
      <c r="BJ8" s="164">
        <f t="shared" si="56"/>
        <v>2.5000000000000001E-2</v>
      </c>
    </row>
    <row r="9" spans="2:63" ht="17" thickBot="1" x14ac:dyDescent="0.25">
      <c r="B9" s="287" t="s">
        <v>59</v>
      </c>
      <c r="C9" s="295">
        <v>0</v>
      </c>
      <c r="D9" s="296">
        <v>0</v>
      </c>
      <c r="E9" s="296">
        <v>0</v>
      </c>
      <c r="F9" s="296">
        <v>0</v>
      </c>
      <c r="G9" s="285">
        <f t="shared" ref="G9:BJ9" si="57">ROUND(G8*G6,0)</f>
        <v>3</v>
      </c>
      <c r="H9" s="285">
        <f t="shared" si="57"/>
        <v>9</v>
      </c>
      <c r="I9" s="285">
        <f t="shared" si="57"/>
        <v>14</v>
      </c>
      <c r="J9" s="285">
        <f t="shared" si="57"/>
        <v>20</v>
      </c>
      <c r="K9" s="285">
        <f t="shared" si="57"/>
        <v>25</v>
      </c>
      <c r="L9" s="285">
        <f t="shared" si="57"/>
        <v>30</v>
      </c>
      <c r="M9" s="285">
        <f t="shared" si="57"/>
        <v>35</v>
      </c>
      <c r="N9" s="285">
        <f t="shared" si="57"/>
        <v>40</v>
      </c>
      <c r="O9" s="285">
        <f t="shared" si="57"/>
        <v>45</v>
      </c>
      <c r="P9" s="285">
        <f t="shared" si="57"/>
        <v>49</v>
      </c>
      <c r="Q9" s="285">
        <f t="shared" si="57"/>
        <v>54</v>
      </c>
      <c r="R9" s="285">
        <f t="shared" si="57"/>
        <v>58</v>
      </c>
      <c r="S9" s="285">
        <f t="shared" si="57"/>
        <v>62</v>
      </c>
      <c r="T9" s="285">
        <f t="shared" si="57"/>
        <v>67</v>
      </c>
      <c r="U9" s="285">
        <f t="shared" si="57"/>
        <v>71</v>
      </c>
      <c r="V9" s="285">
        <f t="shared" si="57"/>
        <v>75</v>
      </c>
      <c r="W9" s="285">
        <f t="shared" si="57"/>
        <v>79</v>
      </c>
      <c r="X9" s="285">
        <f t="shared" si="57"/>
        <v>83</v>
      </c>
      <c r="Y9" s="285">
        <f t="shared" si="57"/>
        <v>86</v>
      </c>
      <c r="Z9" s="285">
        <f t="shared" si="57"/>
        <v>90</v>
      </c>
      <c r="AA9" s="285">
        <f t="shared" si="57"/>
        <v>93</v>
      </c>
      <c r="AB9" s="285">
        <f t="shared" si="57"/>
        <v>97</v>
      </c>
      <c r="AC9" s="285">
        <f t="shared" si="57"/>
        <v>100</v>
      </c>
      <c r="AD9" s="285">
        <f t="shared" si="57"/>
        <v>104</v>
      </c>
      <c r="AE9" s="285">
        <f t="shared" si="57"/>
        <v>107</v>
      </c>
      <c r="AF9" s="285">
        <f t="shared" si="57"/>
        <v>110</v>
      </c>
      <c r="AG9" s="285">
        <f t="shared" si="57"/>
        <v>113</v>
      </c>
      <c r="AH9" s="285">
        <f t="shared" si="57"/>
        <v>116</v>
      </c>
      <c r="AI9" s="285">
        <f t="shared" si="57"/>
        <v>120</v>
      </c>
      <c r="AJ9" s="285">
        <f t="shared" si="57"/>
        <v>122</v>
      </c>
      <c r="AK9" s="285">
        <f t="shared" si="57"/>
        <v>125</v>
      </c>
      <c r="AL9" s="285">
        <f t="shared" si="57"/>
        <v>128</v>
      </c>
      <c r="AM9" s="285">
        <f t="shared" si="57"/>
        <v>131</v>
      </c>
      <c r="AN9" s="285">
        <f t="shared" si="57"/>
        <v>134</v>
      </c>
      <c r="AO9" s="285">
        <f t="shared" si="57"/>
        <v>137</v>
      </c>
      <c r="AP9" s="285">
        <f t="shared" si="57"/>
        <v>139</v>
      </c>
      <c r="AQ9" s="285">
        <f t="shared" si="57"/>
        <v>142</v>
      </c>
      <c r="AR9" s="285">
        <f t="shared" si="57"/>
        <v>145</v>
      </c>
      <c r="AS9" s="285">
        <f t="shared" si="57"/>
        <v>147</v>
      </c>
      <c r="AT9" s="285">
        <f t="shared" si="57"/>
        <v>150</v>
      </c>
      <c r="AU9" s="285">
        <f t="shared" si="57"/>
        <v>153</v>
      </c>
      <c r="AV9" s="285">
        <f t="shared" si="57"/>
        <v>155</v>
      </c>
      <c r="AW9" s="285">
        <f t="shared" si="57"/>
        <v>158</v>
      </c>
      <c r="AX9" s="285">
        <f t="shared" si="57"/>
        <v>160</v>
      </c>
      <c r="AY9" s="285">
        <f t="shared" si="57"/>
        <v>163</v>
      </c>
      <c r="AZ9" s="285">
        <f t="shared" si="57"/>
        <v>165</v>
      </c>
      <c r="BA9" s="285">
        <f t="shared" si="57"/>
        <v>168</v>
      </c>
      <c r="BB9" s="285">
        <f t="shared" si="57"/>
        <v>171</v>
      </c>
      <c r="BC9" s="285">
        <f t="shared" si="57"/>
        <v>173</v>
      </c>
      <c r="BD9" s="285">
        <f t="shared" si="57"/>
        <v>176</v>
      </c>
      <c r="BE9" s="285">
        <f t="shared" si="57"/>
        <v>179</v>
      </c>
      <c r="BF9" s="285">
        <f t="shared" si="57"/>
        <v>181</v>
      </c>
      <c r="BG9" s="285">
        <f t="shared" si="57"/>
        <v>184</v>
      </c>
      <c r="BH9" s="285">
        <f t="shared" si="57"/>
        <v>187</v>
      </c>
      <c r="BI9" s="285">
        <f t="shared" si="57"/>
        <v>190</v>
      </c>
      <c r="BJ9" s="285">
        <f t="shared" si="57"/>
        <v>193</v>
      </c>
    </row>
    <row r="10" spans="2:63" ht="17" thickBot="1" x14ac:dyDescent="0.25">
      <c r="B10" s="288" t="s">
        <v>60</v>
      </c>
      <c r="C10" s="297">
        <f>C6+C7-C9</f>
        <v>0</v>
      </c>
      <c r="D10" s="298">
        <f>D6+D7-D9</f>
        <v>0</v>
      </c>
      <c r="E10" s="298">
        <f t="shared" ref="E10:G10" si="58">E6+E7-E9</f>
        <v>0</v>
      </c>
      <c r="F10" s="298">
        <f t="shared" si="58"/>
        <v>132</v>
      </c>
      <c r="G10" s="168">
        <f t="shared" si="58"/>
        <v>357</v>
      </c>
      <c r="H10" s="168">
        <f t="shared" ref="H10:BJ10" si="59">H6+H7-H9</f>
        <v>576</v>
      </c>
      <c r="I10" s="168">
        <f t="shared" si="59"/>
        <v>791</v>
      </c>
      <c r="J10" s="168">
        <f t="shared" si="59"/>
        <v>1000</v>
      </c>
      <c r="K10" s="168">
        <f t="shared" si="59"/>
        <v>1204</v>
      </c>
      <c r="L10" s="168">
        <f t="shared" si="59"/>
        <v>1403</v>
      </c>
      <c r="M10" s="168">
        <f t="shared" si="59"/>
        <v>1597</v>
      </c>
      <c r="N10" s="168">
        <f t="shared" si="59"/>
        <v>1786</v>
      </c>
      <c r="O10" s="168">
        <f t="shared" si="59"/>
        <v>1970</v>
      </c>
      <c r="P10" s="168">
        <f t="shared" si="59"/>
        <v>2151</v>
      </c>
      <c r="Q10" s="168">
        <f t="shared" si="59"/>
        <v>2327</v>
      </c>
      <c r="R10" s="168">
        <f t="shared" si="59"/>
        <v>2499</v>
      </c>
      <c r="S10" s="168">
        <f t="shared" si="59"/>
        <v>2667</v>
      </c>
      <c r="T10" s="168">
        <f t="shared" si="59"/>
        <v>2831</v>
      </c>
      <c r="U10" s="168">
        <f t="shared" si="59"/>
        <v>2991</v>
      </c>
      <c r="V10" s="168">
        <f t="shared" si="59"/>
        <v>3147</v>
      </c>
      <c r="W10" s="168">
        <f t="shared" si="59"/>
        <v>3300</v>
      </c>
      <c r="X10" s="168">
        <f t="shared" si="59"/>
        <v>3449</v>
      </c>
      <c r="Y10" s="168">
        <f t="shared" si="59"/>
        <v>3595</v>
      </c>
      <c r="Z10" s="168">
        <f t="shared" si="59"/>
        <v>3738</v>
      </c>
      <c r="AA10" s="168">
        <f t="shared" si="59"/>
        <v>3878</v>
      </c>
      <c r="AB10" s="168">
        <f t="shared" si="59"/>
        <v>4015</v>
      </c>
      <c r="AC10" s="168">
        <f t="shared" si="59"/>
        <v>4149</v>
      </c>
      <c r="AD10" s="168">
        <f t="shared" si="59"/>
        <v>4280</v>
      </c>
      <c r="AE10" s="168">
        <f t="shared" si="59"/>
        <v>4408</v>
      </c>
      <c r="AF10" s="168">
        <f t="shared" si="59"/>
        <v>4534</v>
      </c>
      <c r="AG10" s="168">
        <f t="shared" si="59"/>
        <v>4658</v>
      </c>
      <c r="AH10" s="168">
        <f t="shared" si="59"/>
        <v>4780</v>
      </c>
      <c r="AI10" s="168">
        <f t="shared" si="59"/>
        <v>4898</v>
      </c>
      <c r="AJ10" s="168">
        <f t="shared" si="59"/>
        <v>5015</v>
      </c>
      <c r="AK10" s="168">
        <f t="shared" si="59"/>
        <v>5130</v>
      </c>
      <c r="AL10" s="168">
        <f t="shared" si="59"/>
        <v>5243</v>
      </c>
      <c r="AM10" s="168">
        <f t="shared" si="59"/>
        <v>5355</v>
      </c>
      <c r="AN10" s="168">
        <f t="shared" si="59"/>
        <v>5465</v>
      </c>
      <c r="AO10" s="168">
        <f t="shared" si="59"/>
        <v>5573</v>
      </c>
      <c r="AP10" s="168">
        <f t="shared" si="59"/>
        <v>5681</v>
      </c>
      <c r="AQ10" s="168">
        <f t="shared" si="59"/>
        <v>5787</v>
      </c>
      <c r="AR10" s="168">
        <f t="shared" si="59"/>
        <v>5892</v>
      </c>
      <c r="AS10" s="168">
        <f t="shared" si="59"/>
        <v>5997</v>
      </c>
      <c r="AT10" s="168">
        <f t="shared" si="59"/>
        <v>6101</v>
      </c>
      <c r="AU10" s="168">
        <f t="shared" si="59"/>
        <v>6204</v>
      </c>
      <c r="AV10" s="168">
        <f t="shared" si="59"/>
        <v>6307</v>
      </c>
      <c r="AW10" s="168">
        <f t="shared" si="59"/>
        <v>6410</v>
      </c>
      <c r="AX10" s="168">
        <f t="shared" si="59"/>
        <v>6513</v>
      </c>
      <c r="AY10" s="168">
        <f t="shared" si="59"/>
        <v>6616</v>
      </c>
      <c r="AZ10" s="168">
        <f t="shared" si="59"/>
        <v>6721</v>
      </c>
      <c r="BA10" s="168">
        <f t="shared" si="59"/>
        <v>6826</v>
      </c>
      <c r="BB10" s="168">
        <f t="shared" si="59"/>
        <v>6932</v>
      </c>
      <c r="BC10" s="168">
        <f t="shared" si="59"/>
        <v>7040</v>
      </c>
      <c r="BD10" s="168">
        <f t="shared" si="59"/>
        <v>7149</v>
      </c>
      <c r="BE10" s="168">
        <f t="shared" si="59"/>
        <v>7259</v>
      </c>
      <c r="BF10" s="168">
        <f t="shared" si="59"/>
        <v>7372</v>
      </c>
      <c r="BG10" s="168">
        <f t="shared" si="59"/>
        <v>7488</v>
      </c>
      <c r="BH10" s="168">
        <f t="shared" si="59"/>
        <v>7607</v>
      </c>
      <c r="BI10" s="168">
        <f t="shared" si="59"/>
        <v>7729</v>
      </c>
      <c r="BJ10" s="168">
        <f t="shared" si="59"/>
        <v>7855</v>
      </c>
    </row>
    <row r="11" spans="2:63" x14ac:dyDescent="0.2">
      <c r="B11" s="2"/>
      <c r="C11" s="274"/>
      <c r="D11" s="275"/>
      <c r="E11" s="275"/>
      <c r="F11" s="275"/>
    </row>
    <row r="12" spans="2:63" s="27" customFormat="1" ht="17" thickBot="1" x14ac:dyDescent="0.25">
      <c r="B12" s="70" t="s">
        <v>61</v>
      </c>
      <c r="C12" s="299"/>
      <c r="D12" s="300"/>
      <c r="E12" s="300"/>
      <c r="F12" s="300">
        <v>35</v>
      </c>
      <c r="G12" s="165">
        <f t="shared" ref="G12:BJ12" si="60">AverageMonthlySubscriptionPrice</f>
        <v>35</v>
      </c>
      <c r="H12" s="165">
        <f t="shared" si="60"/>
        <v>35</v>
      </c>
      <c r="I12" s="165">
        <f t="shared" si="60"/>
        <v>35</v>
      </c>
      <c r="J12" s="165">
        <f t="shared" si="60"/>
        <v>35</v>
      </c>
      <c r="K12" s="165">
        <f t="shared" si="60"/>
        <v>35</v>
      </c>
      <c r="L12" s="165">
        <f t="shared" si="60"/>
        <v>35</v>
      </c>
      <c r="M12" s="165">
        <f t="shared" si="60"/>
        <v>35</v>
      </c>
      <c r="N12" s="165">
        <f t="shared" si="60"/>
        <v>35</v>
      </c>
      <c r="O12" s="165">
        <f t="shared" si="60"/>
        <v>35</v>
      </c>
      <c r="P12" s="165">
        <f t="shared" si="60"/>
        <v>35</v>
      </c>
      <c r="Q12" s="165">
        <f t="shared" si="60"/>
        <v>35</v>
      </c>
      <c r="R12" s="165">
        <f t="shared" si="60"/>
        <v>35</v>
      </c>
      <c r="S12" s="165">
        <f t="shared" si="60"/>
        <v>35</v>
      </c>
      <c r="T12" s="165">
        <f t="shared" si="60"/>
        <v>35</v>
      </c>
      <c r="U12" s="165">
        <f t="shared" si="60"/>
        <v>35</v>
      </c>
      <c r="V12" s="165">
        <f t="shared" si="60"/>
        <v>35</v>
      </c>
      <c r="W12" s="165">
        <f t="shared" si="60"/>
        <v>35</v>
      </c>
      <c r="X12" s="165">
        <f t="shared" si="60"/>
        <v>35</v>
      </c>
      <c r="Y12" s="165">
        <f t="shared" si="60"/>
        <v>35</v>
      </c>
      <c r="Z12" s="165">
        <f t="shared" si="60"/>
        <v>35</v>
      </c>
      <c r="AA12" s="165">
        <f t="shared" si="60"/>
        <v>35</v>
      </c>
      <c r="AB12" s="165">
        <f t="shared" si="60"/>
        <v>35</v>
      </c>
      <c r="AC12" s="165">
        <f t="shared" si="60"/>
        <v>35</v>
      </c>
      <c r="AD12" s="165">
        <f t="shared" si="60"/>
        <v>35</v>
      </c>
      <c r="AE12" s="165">
        <f t="shared" si="60"/>
        <v>35</v>
      </c>
      <c r="AF12" s="165">
        <f t="shared" si="60"/>
        <v>35</v>
      </c>
      <c r="AG12" s="165">
        <f t="shared" si="60"/>
        <v>35</v>
      </c>
      <c r="AH12" s="165">
        <f t="shared" si="60"/>
        <v>35</v>
      </c>
      <c r="AI12" s="165">
        <f t="shared" si="60"/>
        <v>35</v>
      </c>
      <c r="AJ12" s="165">
        <f t="shared" si="60"/>
        <v>35</v>
      </c>
      <c r="AK12" s="165">
        <f t="shared" si="60"/>
        <v>35</v>
      </c>
      <c r="AL12" s="165">
        <f t="shared" si="60"/>
        <v>35</v>
      </c>
      <c r="AM12" s="165">
        <f t="shared" si="60"/>
        <v>35</v>
      </c>
      <c r="AN12" s="165">
        <f t="shared" si="60"/>
        <v>35</v>
      </c>
      <c r="AO12" s="165">
        <f t="shared" si="60"/>
        <v>35</v>
      </c>
      <c r="AP12" s="165">
        <f t="shared" si="60"/>
        <v>35</v>
      </c>
      <c r="AQ12" s="165">
        <f t="shared" si="60"/>
        <v>35</v>
      </c>
      <c r="AR12" s="165">
        <f t="shared" si="60"/>
        <v>35</v>
      </c>
      <c r="AS12" s="165">
        <f t="shared" si="60"/>
        <v>35</v>
      </c>
      <c r="AT12" s="165">
        <f t="shared" si="60"/>
        <v>35</v>
      </c>
      <c r="AU12" s="165">
        <f t="shared" si="60"/>
        <v>35</v>
      </c>
      <c r="AV12" s="165">
        <f t="shared" si="60"/>
        <v>35</v>
      </c>
      <c r="AW12" s="165">
        <f t="shared" si="60"/>
        <v>35</v>
      </c>
      <c r="AX12" s="165">
        <f t="shared" si="60"/>
        <v>35</v>
      </c>
      <c r="AY12" s="165">
        <f t="shared" si="60"/>
        <v>35</v>
      </c>
      <c r="AZ12" s="165">
        <f t="shared" si="60"/>
        <v>35</v>
      </c>
      <c r="BA12" s="165">
        <f t="shared" si="60"/>
        <v>35</v>
      </c>
      <c r="BB12" s="165">
        <f t="shared" si="60"/>
        <v>35</v>
      </c>
      <c r="BC12" s="165">
        <f t="shared" si="60"/>
        <v>35</v>
      </c>
      <c r="BD12" s="165">
        <f t="shared" si="60"/>
        <v>35</v>
      </c>
      <c r="BE12" s="165">
        <f t="shared" si="60"/>
        <v>35</v>
      </c>
      <c r="BF12" s="165">
        <f t="shared" si="60"/>
        <v>35</v>
      </c>
      <c r="BG12" s="165">
        <f t="shared" si="60"/>
        <v>35</v>
      </c>
      <c r="BH12" s="165">
        <f t="shared" si="60"/>
        <v>35</v>
      </c>
      <c r="BI12" s="165">
        <f t="shared" si="60"/>
        <v>35</v>
      </c>
      <c r="BJ12" s="165">
        <f t="shared" si="60"/>
        <v>35</v>
      </c>
    </row>
    <row r="13" spans="2:63" ht="17" thickBot="1" x14ac:dyDescent="0.25">
      <c r="B13" s="160" t="s">
        <v>62</v>
      </c>
      <c r="C13" s="301">
        <f>C12*C10</f>
        <v>0</v>
      </c>
      <c r="D13" s="302">
        <f>D12*D10</f>
        <v>0</v>
      </c>
      <c r="E13" s="302">
        <f t="shared" ref="E13:BJ13" si="61">E12*E10</f>
        <v>0</v>
      </c>
      <c r="F13" s="302">
        <f t="shared" si="61"/>
        <v>4620</v>
      </c>
      <c r="G13" s="166">
        <f t="shared" si="61"/>
        <v>12495</v>
      </c>
      <c r="H13" s="166">
        <f t="shared" ref="H13:BJ13" si="62">H12*H10</f>
        <v>20160</v>
      </c>
      <c r="I13" s="166">
        <f t="shared" si="62"/>
        <v>27685</v>
      </c>
      <c r="J13" s="166">
        <f t="shared" si="62"/>
        <v>35000</v>
      </c>
      <c r="K13" s="166">
        <f t="shared" si="62"/>
        <v>42140</v>
      </c>
      <c r="L13" s="166">
        <f t="shared" si="62"/>
        <v>49105</v>
      </c>
      <c r="M13" s="166">
        <f t="shared" si="62"/>
        <v>55895</v>
      </c>
      <c r="N13" s="166">
        <f t="shared" si="62"/>
        <v>62510</v>
      </c>
      <c r="O13" s="166">
        <f t="shared" si="62"/>
        <v>68950</v>
      </c>
      <c r="P13" s="166">
        <f t="shared" si="62"/>
        <v>75285</v>
      </c>
      <c r="Q13" s="166">
        <f t="shared" si="62"/>
        <v>81445</v>
      </c>
      <c r="R13" s="166">
        <f t="shared" si="62"/>
        <v>87465</v>
      </c>
      <c r="S13" s="166">
        <f t="shared" si="62"/>
        <v>93345</v>
      </c>
      <c r="T13" s="166">
        <f t="shared" si="62"/>
        <v>99085</v>
      </c>
      <c r="U13" s="166">
        <f t="shared" si="62"/>
        <v>104685</v>
      </c>
      <c r="V13" s="166">
        <f t="shared" si="62"/>
        <v>110145</v>
      </c>
      <c r="W13" s="166">
        <f t="shared" si="62"/>
        <v>115500</v>
      </c>
      <c r="X13" s="166">
        <f t="shared" si="62"/>
        <v>120715</v>
      </c>
      <c r="Y13" s="166">
        <f t="shared" si="62"/>
        <v>125825</v>
      </c>
      <c r="Z13" s="166">
        <f t="shared" si="62"/>
        <v>130830</v>
      </c>
      <c r="AA13" s="166">
        <f t="shared" si="62"/>
        <v>135730</v>
      </c>
      <c r="AB13" s="166">
        <f t="shared" si="62"/>
        <v>140525</v>
      </c>
      <c r="AC13" s="166">
        <f t="shared" si="62"/>
        <v>145215</v>
      </c>
      <c r="AD13" s="166">
        <f t="shared" si="62"/>
        <v>149800</v>
      </c>
      <c r="AE13" s="166">
        <f t="shared" si="62"/>
        <v>154280</v>
      </c>
      <c r="AF13" s="166">
        <f t="shared" si="62"/>
        <v>158690</v>
      </c>
      <c r="AG13" s="166">
        <f t="shared" si="62"/>
        <v>163030</v>
      </c>
      <c r="AH13" s="166">
        <f t="shared" si="62"/>
        <v>167300</v>
      </c>
      <c r="AI13" s="166">
        <f t="shared" si="62"/>
        <v>171430</v>
      </c>
      <c r="AJ13" s="166">
        <f t="shared" si="62"/>
        <v>175525</v>
      </c>
      <c r="AK13" s="166">
        <f t="shared" si="62"/>
        <v>179550</v>
      </c>
      <c r="AL13" s="166">
        <f t="shared" si="62"/>
        <v>183505</v>
      </c>
      <c r="AM13" s="166">
        <f t="shared" si="62"/>
        <v>187425</v>
      </c>
      <c r="AN13" s="166">
        <f t="shared" si="62"/>
        <v>191275</v>
      </c>
      <c r="AO13" s="166">
        <f t="shared" si="62"/>
        <v>195055</v>
      </c>
      <c r="AP13" s="166">
        <f t="shared" si="62"/>
        <v>198835</v>
      </c>
      <c r="AQ13" s="166">
        <f t="shared" si="62"/>
        <v>202545</v>
      </c>
      <c r="AR13" s="166">
        <f t="shared" si="62"/>
        <v>206220</v>
      </c>
      <c r="AS13" s="166">
        <f t="shared" si="62"/>
        <v>209895</v>
      </c>
      <c r="AT13" s="166">
        <f t="shared" si="62"/>
        <v>213535</v>
      </c>
      <c r="AU13" s="166">
        <f t="shared" si="62"/>
        <v>217140</v>
      </c>
      <c r="AV13" s="166">
        <f t="shared" si="62"/>
        <v>220745</v>
      </c>
      <c r="AW13" s="166">
        <f t="shared" si="62"/>
        <v>224350</v>
      </c>
      <c r="AX13" s="166">
        <f t="shared" si="62"/>
        <v>227955</v>
      </c>
      <c r="AY13" s="166">
        <f t="shared" si="62"/>
        <v>231560</v>
      </c>
      <c r="AZ13" s="166">
        <f t="shared" si="62"/>
        <v>235235</v>
      </c>
      <c r="BA13" s="166">
        <f t="shared" si="62"/>
        <v>238910</v>
      </c>
      <c r="BB13" s="166">
        <f t="shared" si="62"/>
        <v>242620</v>
      </c>
      <c r="BC13" s="166">
        <f t="shared" si="62"/>
        <v>246400</v>
      </c>
      <c r="BD13" s="166">
        <f t="shared" si="62"/>
        <v>250215</v>
      </c>
      <c r="BE13" s="166">
        <f t="shared" si="62"/>
        <v>254065</v>
      </c>
      <c r="BF13" s="166">
        <f t="shared" si="62"/>
        <v>258020</v>
      </c>
      <c r="BG13" s="166">
        <f t="shared" si="62"/>
        <v>262080</v>
      </c>
      <c r="BH13" s="166">
        <f t="shared" si="62"/>
        <v>266245</v>
      </c>
      <c r="BI13" s="166">
        <f t="shared" si="62"/>
        <v>270515</v>
      </c>
      <c r="BJ13" s="166">
        <f t="shared" si="62"/>
        <v>274925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B85-F5DD-984F-BC5E-D8DFA9B5A708}">
  <dimension ref="B2:BK65"/>
  <sheetViews>
    <sheetView zoomScale="180" zoomScaleNormal="180" workbookViewId="0">
      <pane xSplit="2" ySplit="4" topLeftCell="C15" activePane="bottomRight" state="frozen"/>
      <selection activeCell="G10" sqref="G10"/>
      <selection pane="topRight" activeCell="G10" sqref="G10"/>
      <selection pane="bottomLeft" activeCell="G10" sqref="G10"/>
      <selection pane="bottomRight" activeCell="G60" sqref="G60"/>
    </sheetView>
    <sheetView workbookViewId="1"/>
  </sheetViews>
  <sheetFormatPr baseColWidth="10" defaultRowHeight="16" x14ac:dyDescent="0.2"/>
  <cols>
    <col min="1" max="1" width="6.6640625" customWidth="1"/>
    <col min="2" max="2" width="28.5" bestFit="1" customWidth="1"/>
    <col min="3" max="33" width="11.33203125" bestFit="1" customWidth="1"/>
    <col min="34" max="49" width="11.5" bestFit="1" customWidth="1"/>
    <col min="50" max="62" width="12.6640625" bestFit="1" customWidth="1"/>
  </cols>
  <sheetData>
    <row r="2" spans="2:62" ht="20" customHeight="1" x14ac:dyDescent="0.25">
      <c r="B2" s="35" t="s">
        <v>170</v>
      </c>
    </row>
    <row r="3" spans="2:62" ht="17" thickBot="1" x14ac:dyDescent="0.25"/>
    <row r="4" spans="2:62" ht="17" thickBot="1" x14ac:dyDescent="0.25">
      <c r="B4" s="75"/>
      <c r="C4" s="265">
        <f>'Kiosk P&amp;L'!D4</f>
        <v>45292</v>
      </c>
      <c r="D4" s="265">
        <f>'Kiosk P&amp;L'!E4</f>
        <v>45323</v>
      </c>
      <c r="E4" s="265">
        <f>'Kiosk P&amp;L'!F4</f>
        <v>45352</v>
      </c>
      <c r="F4" s="265">
        <f>'Kiosk P&amp;L'!G4</f>
        <v>45383</v>
      </c>
      <c r="G4" s="60">
        <f>'Kiosk P&amp;L'!H4</f>
        <v>45413</v>
      </c>
      <c r="H4" s="60">
        <f>'Kiosk P&amp;L'!I4</f>
        <v>45444</v>
      </c>
      <c r="I4" s="60">
        <f>'Kiosk P&amp;L'!J4</f>
        <v>45474</v>
      </c>
      <c r="J4" s="60">
        <f>'Kiosk P&amp;L'!K4</f>
        <v>45505</v>
      </c>
      <c r="K4" s="60">
        <f>'Kiosk P&amp;L'!L4</f>
        <v>45536</v>
      </c>
      <c r="L4" s="60">
        <f>'Kiosk P&amp;L'!M4</f>
        <v>45566</v>
      </c>
      <c r="M4" s="60">
        <f>'Kiosk P&amp;L'!N4</f>
        <v>45597</v>
      </c>
      <c r="N4" s="60">
        <f>'Kiosk P&amp;L'!O4</f>
        <v>45627</v>
      </c>
      <c r="O4" s="60">
        <f>'Kiosk P&amp;L'!P4</f>
        <v>45658</v>
      </c>
      <c r="P4" s="60">
        <f>'Kiosk P&amp;L'!Q4</f>
        <v>45689</v>
      </c>
      <c r="Q4" s="60">
        <f>'Kiosk P&amp;L'!R4</f>
        <v>45717</v>
      </c>
      <c r="R4" s="60">
        <f>'Kiosk P&amp;L'!S4</f>
        <v>45748</v>
      </c>
      <c r="S4" s="60">
        <f>'Kiosk P&amp;L'!T4</f>
        <v>45778</v>
      </c>
      <c r="T4" s="60">
        <f>'Kiosk P&amp;L'!U4</f>
        <v>45809</v>
      </c>
      <c r="U4" s="60">
        <f>'Kiosk P&amp;L'!V4</f>
        <v>45839</v>
      </c>
      <c r="V4" s="60">
        <f>'Kiosk P&amp;L'!W4</f>
        <v>45870</v>
      </c>
      <c r="W4" s="60">
        <f>'Kiosk P&amp;L'!X4</f>
        <v>45901</v>
      </c>
      <c r="X4" s="60">
        <f>'Kiosk P&amp;L'!Y4</f>
        <v>45931</v>
      </c>
      <c r="Y4" s="60">
        <f>'Kiosk P&amp;L'!Z4</f>
        <v>45962</v>
      </c>
      <c r="Z4" s="60">
        <f>'Kiosk P&amp;L'!AA4</f>
        <v>45992</v>
      </c>
      <c r="AA4" s="60">
        <f>'Kiosk P&amp;L'!AB4</f>
        <v>46023</v>
      </c>
      <c r="AB4" s="60">
        <f>'Kiosk P&amp;L'!AC4</f>
        <v>46054</v>
      </c>
      <c r="AC4" s="60">
        <f>'Kiosk P&amp;L'!AD4</f>
        <v>46082</v>
      </c>
      <c r="AD4" s="60">
        <f>'Kiosk P&amp;L'!AE4</f>
        <v>46113</v>
      </c>
      <c r="AE4" s="60">
        <f>'Kiosk P&amp;L'!AF4</f>
        <v>46143</v>
      </c>
      <c r="AF4" s="60">
        <f>'Kiosk P&amp;L'!AG4</f>
        <v>46174</v>
      </c>
      <c r="AG4" s="60">
        <f>'Kiosk P&amp;L'!AH4</f>
        <v>46204</v>
      </c>
      <c r="AH4" s="60">
        <f>'Kiosk P&amp;L'!AI4</f>
        <v>46235</v>
      </c>
      <c r="AI4" s="60">
        <f>'Kiosk P&amp;L'!AJ4</f>
        <v>46266</v>
      </c>
      <c r="AJ4" s="60">
        <f>'Kiosk P&amp;L'!AK4</f>
        <v>46296</v>
      </c>
      <c r="AK4" s="60">
        <f>'Kiosk P&amp;L'!AL4</f>
        <v>46327</v>
      </c>
      <c r="AL4" s="60">
        <f>'Kiosk P&amp;L'!AM4</f>
        <v>46357</v>
      </c>
      <c r="AM4" s="60">
        <f>'Kiosk P&amp;L'!AN4</f>
        <v>46388</v>
      </c>
      <c r="AN4" s="60">
        <f>'Kiosk P&amp;L'!AO4</f>
        <v>46419</v>
      </c>
      <c r="AO4" s="60">
        <f>'Kiosk P&amp;L'!AP4</f>
        <v>46447</v>
      </c>
      <c r="AP4" s="60">
        <f>'Kiosk P&amp;L'!AQ4</f>
        <v>46478</v>
      </c>
      <c r="AQ4" s="60">
        <f>'Kiosk P&amp;L'!AR4</f>
        <v>46508</v>
      </c>
      <c r="AR4" s="60">
        <f>'Kiosk P&amp;L'!AS4</f>
        <v>46539</v>
      </c>
      <c r="AS4" s="60">
        <f>'Kiosk P&amp;L'!AT4</f>
        <v>46569</v>
      </c>
      <c r="AT4" s="60">
        <f>'Kiosk P&amp;L'!AU4</f>
        <v>46600</v>
      </c>
      <c r="AU4" s="60">
        <f>'Kiosk P&amp;L'!AV4</f>
        <v>46631</v>
      </c>
      <c r="AV4" s="60">
        <f>'Kiosk P&amp;L'!AW4</f>
        <v>46661</v>
      </c>
      <c r="AW4" s="60">
        <f>'Kiosk P&amp;L'!AX4</f>
        <v>46692</v>
      </c>
      <c r="AX4" s="60">
        <f>'Kiosk P&amp;L'!AY4</f>
        <v>46722</v>
      </c>
      <c r="AY4" s="60">
        <f>'Kiosk P&amp;L'!AZ4</f>
        <v>46753</v>
      </c>
      <c r="AZ4" s="60">
        <f>'Kiosk P&amp;L'!BA4</f>
        <v>46784</v>
      </c>
      <c r="BA4" s="60">
        <f>'Kiosk P&amp;L'!BB4</f>
        <v>46813</v>
      </c>
      <c r="BB4" s="60">
        <f>'Kiosk P&amp;L'!BC4</f>
        <v>46844</v>
      </c>
      <c r="BC4" s="60">
        <f>'Kiosk P&amp;L'!BD4</f>
        <v>46874</v>
      </c>
      <c r="BD4" s="60">
        <f>'Kiosk P&amp;L'!BE4</f>
        <v>46905</v>
      </c>
      <c r="BE4" s="60">
        <f>'Kiosk P&amp;L'!BF4</f>
        <v>46935</v>
      </c>
      <c r="BF4" s="60">
        <f>'Kiosk P&amp;L'!BG4</f>
        <v>46966</v>
      </c>
      <c r="BG4" s="60">
        <f>'Kiosk P&amp;L'!BH4</f>
        <v>46997</v>
      </c>
      <c r="BH4" s="60">
        <f>'Kiosk P&amp;L'!BI4</f>
        <v>47027</v>
      </c>
      <c r="BI4" s="60">
        <f>'Kiosk P&amp;L'!BJ4</f>
        <v>47058</v>
      </c>
      <c r="BJ4" s="61">
        <f>'Kiosk P&amp;L'!BK4</f>
        <v>47088</v>
      </c>
    </row>
    <row r="5" spans="2:62" x14ac:dyDescent="0.2">
      <c r="B5" s="2"/>
      <c r="C5" s="275"/>
      <c r="D5" s="275"/>
      <c r="E5" s="275"/>
      <c r="F5" s="275"/>
      <c r="BJ5" s="3"/>
    </row>
    <row r="6" spans="2:62" x14ac:dyDescent="0.2">
      <c r="B6" s="172" t="s">
        <v>64</v>
      </c>
      <c r="C6" s="275"/>
      <c r="D6" s="275"/>
      <c r="E6" s="275"/>
      <c r="F6" s="275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4"/>
    </row>
    <row r="7" spans="2:62" x14ac:dyDescent="0.2">
      <c r="B7" s="175" t="s">
        <v>65</v>
      </c>
      <c r="C7" s="269">
        <v>0</v>
      </c>
      <c r="D7" s="269">
        <v>0</v>
      </c>
      <c r="E7" s="269">
        <v>0</v>
      </c>
      <c r="F7" s="269">
        <v>9867</v>
      </c>
      <c r="G7" s="176">
        <f t="shared" ref="G7:AH7" si="0">MonthlyGoogleSpend</f>
        <v>20000</v>
      </c>
      <c r="H7" s="176">
        <f t="shared" si="0"/>
        <v>20000</v>
      </c>
      <c r="I7" s="176">
        <f t="shared" si="0"/>
        <v>20000</v>
      </c>
      <c r="J7" s="176">
        <f t="shared" si="0"/>
        <v>20000</v>
      </c>
      <c r="K7" s="176">
        <f t="shared" si="0"/>
        <v>20000</v>
      </c>
      <c r="L7" s="176">
        <f t="shared" si="0"/>
        <v>20000</v>
      </c>
      <c r="M7" s="176">
        <f t="shared" si="0"/>
        <v>20000</v>
      </c>
      <c r="N7" s="176">
        <f t="shared" si="0"/>
        <v>20000</v>
      </c>
      <c r="O7" s="176">
        <f t="shared" si="0"/>
        <v>20000</v>
      </c>
      <c r="P7" s="176">
        <f t="shared" si="0"/>
        <v>20000</v>
      </c>
      <c r="Q7" s="176">
        <f t="shared" si="0"/>
        <v>20000</v>
      </c>
      <c r="R7" s="176">
        <f t="shared" si="0"/>
        <v>20000</v>
      </c>
      <c r="S7" s="176">
        <f t="shared" si="0"/>
        <v>20000</v>
      </c>
      <c r="T7" s="176">
        <f t="shared" si="0"/>
        <v>20000</v>
      </c>
      <c r="U7" s="176">
        <f t="shared" si="0"/>
        <v>20000</v>
      </c>
      <c r="V7" s="176">
        <f t="shared" si="0"/>
        <v>20000</v>
      </c>
      <c r="W7" s="176">
        <f t="shared" si="0"/>
        <v>20000</v>
      </c>
      <c r="X7" s="176">
        <f t="shared" si="0"/>
        <v>20000</v>
      </c>
      <c r="Y7" s="176">
        <f t="shared" si="0"/>
        <v>20000</v>
      </c>
      <c r="Z7" s="176">
        <f t="shared" si="0"/>
        <v>20000</v>
      </c>
      <c r="AA7" s="176">
        <f t="shared" si="0"/>
        <v>20000</v>
      </c>
      <c r="AB7" s="176">
        <f t="shared" si="0"/>
        <v>20000</v>
      </c>
      <c r="AC7" s="176">
        <f t="shared" si="0"/>
        <v>20000</v>
      </c>
      <c r="AD7" s="176">
        <f t="shared" si="0"/>
        <v>20000</v>
      </c>
      <c r="AE7" s="176">
        <f t="shared" si="0"/>
        <v>20000</v>
      </c>
      <c r="AF7" s="176">
        <f t="shared" si="0"/>
        <v>20000</v>
      </c>
      <c r="AG7" s="176">
        <f t="shared" si="0"/>
        <v>20000</v>
      </c>
      <c r="AH7" s="176">
        <f t="shared" si="0"/>
        <v>20000</v>
      </c>
      <c r="AI7" s="176">
        <f t="shared" ref="AI7:BJ7" si="1">MonthlyGoogleSpend</f>
        <v>20000</v>
      </c>
      <c r="AJ7" s="176">
        <f t="shared" si="1"/>
        <v>20000</v>
      </c>
      <c r="AK7" s="176">
        <f t="shared" si="1"/>
        <v>20000</v>
      </c>
      <c r="AL7" s="176">
        <f t="shared" si="1"/>
        <v>20000</v>
      </c>
      <c r="AM7" s="176">
        <f t="shared" si="1"/>
        <v>20000</v>
      </c>
      <c r="AN7" s="176">
        <f t="shared" si="1"/>
        <v>20000</v>
      </c>
      <c r="AO7" s="176">
        <f t="shared" si="1"/>
        <v>20000</v>
      </c>
      <c r="AP7" s="176">
        <f t="shared" si="1"/>
        <v>20000</v>
      </c>
      <c r="AQ7" s="176">
        <f t="shared" si="1"/>
        <v>20000</v>
      </c>
      <c r="AR7" s="176">
        <f t="shared" si="1"/>
        <v>20000</v>
      </c>
      <c r="AS7" s="176">
        <f t="shared" si="1"/>
        <v>20000</v>
      </c>
      <c r="AT7" s="176">
        <f t="shared" si="1"/>
        <v>20000</v>
      </c>
      <c r="AU7" s="176">
        <f t="shared" si="1"/>
        <v>20000</v>
      </c>
      <c r="AV7" s="176">
        <f t="shared" si="1"/>
        <v>20000</v>
      </c>
      <c r="AW7" s="176">
        <f t="shared" si="1"/>
        <v>20000</v>
      </c>
      <c r="AX7" s="176">
        <f t="shared" si="1"/>
        <v>20000</v>
      </c>
      <c r="AY7" s="176">
        <f t="shared" si="1"/>
        <v>20000</v>
      </c>
      <c r="AZ7" s="176">
        <f t="shared" si="1"/>
        <v>20000</v>
      </c>
      <c r="BA7" s="176">
        <f t="shared" si="1"/>
        <v>20000</v>
      </c>
      <c r="BB7" s="176">
        <f t="shared" si="1"/>
        <v>20000</v>
      </c>
      <c r="BC7" s="176">
        <f t="shared" si="1"/>
        <v>20000</v>
      </c>
      <c r="BD7" s="176">
        <f t="shared" si="1"/>
        <v>20000</v>
      </c>
      <c r="BE7" s="176">
        <f t="shared" si="1"/>
        <v>20000</v>
      </c>
      <c r="BF7" s="176">
        <f t="shared" si="1"/>
        <v>20000</v>
      </c>
      <c r="BG7" s="176">
        <f t="shared" si="1"/>
        <v>20000</v>
      </c>
      <c r="BH7" s="176">
        <f t="shared" si="1"/>
        <v>20000</v>
      </c>
      <c r="BI7" s="176">
        <f t="shared" si="1"/>
        <v>20000</v>
      </c>
      <c r="BJ7" s="177">
        <f t="shared" si="1"/>
        <v>20000</v>
      </c>
    </row>
    <row r="8" spans="2:62" x14ac:dyDescent="0.2">
      <c r="B8" s="175" t="s">
        <v>63</v>
      </c>
      <c r="C8" s="303"/>
      <c r="D8" s="303"/>
      <c r="E8" s="303"/>
      <c r="F8" s="303">
        <v>3.46</v>
      </c>
      <c r="G8" s="178">
        <f t="shared" ref="G8:AH8" si="2">GoogleCPC</f>
        <v>2.75</v>
      </c>
      <c r="H8" s="178">
        <f t="shared" si="2"/>
        <v>2.75</v>
      </c>
      <c r="I8" s="178">
        <f t="shared" si="2"/>
        <v>2.75</v>
      </c>
      <c r="J8" s="178">
        <f t="shared" si="2"/>
        <v>2.75</v>
      </c>
      <c r="K8" s="178">
        <f t="shared" si="2"/>
        <v>2.75</v>
      </c>
      <c r="L8" s="178">
        <f t="shared" si="2"/>
        <v>2.75</v>
      </c>
      <c r="M8" s="178">
        <f t="shared" si="2"/>
        <v>2.75</v>
      </c>
      <c r="N8" s="178">
        <f t="shared" si="2"/>
        <v>2.75</v>
      </c>
      <c r="O8" s="178">
        <f t="shared" si="2"/>
        <v>2.75</v>
      </c>
      <c r="P8" s="178">
        <f t="shared" si="2"/>
        <v>2.75</v>
      </c>
      <c r="Q8" s="178">
        <f t="shared" si="2"/>
        <v>2.75</v>
      </c>
      <c r="R8" s="178">
        <f t="shared" si="2"/>
        <v>2.75</v>
      </c>
      <c r="S8" s="178">
        <f t="shared" si="2"/>
        <v>2.75</v>
      </c>
      <c r="T8" s="178">
        <f t="shared" si="2"/>
        <v>2.75</v>
      </c>
      <c r="U8" s="178">
        <f t="shared" si="2"/>
        <v>2.75</v>
      </c>
      <c r="V8" s="178">
        <f t="shared" si="2"/>
        <v>2.75</v>
      </c>
      <c r="W8" s="178">
        <f t="shared" si="2"/>
        <v>2.75</v>
      </c>
      <c r="X8" s="178">
        <f t="shared" si="2"/>
        <v>2.75</v>
      </c>
      <c r="Y8" s="178">
        <f t="shared" si="2"/>
        <v>2.75</v>
      </c>
      <c r="Z8" s="178">
        <f t="shared" si="2"/>
        <v>2.75</v>
      </c>
      <c r="AA8" s="178">
        <f t="shared" si="2"/>
        <v>2.75</v>
      </c>
      <c r="AB8" s="178">
        <f t="shared" si="2"/>
        <v>2.75</v>
      </c>
      <c r="AC8" s="178">
        <f t="shared" si="2"/>
        <v>2.75</v>
      </c>
      <c r="AD8" s="178">
        <f t="shared" si="2"/>
        <v>2.75</v>
      </c>
      <c r="AE8" s="178">
        <f t="shared" si="2"/>
        <v>2.75</v>
      </c>
      <c r="AF8" s="178">
        <f t="shared" si="2"/>
        <v>2.75</v>
      </c>
      <c r="AG8" s="178">
        <f t="shared" si="2"/>
        <v>2.75</v>
      </c>
      <c r="AH8" s="178">
        <f t="shared" si="2"/>
        <v>2.75</v>
      </c>
      <c r="AI8" s="178">
        <f t="shared" ref="AI8:BJ8" si="3">GoogleCPC</f>
        <v>2.75</v>
      </c>
      <c r="AJ8" s="178">
        <f t="shared" si="3"/>
        <v>2.75</v>
      </c>
      <c r="AK8" s="178">
        <f t="shared" si="3"/>
        <v>2.75</v>
      </c>
      <c r="AL8" s="178">
        <f t="shared" si="3"/>
        <v>2.75</v>
      </c>
      <c r="AM8" s="178">
        <f t="shared" si="3"/>
        <v>2.75</v>
      </c>
      <c r="AN8" s="178">
        <f t="shared" si="3"/>
        <v>2.75</v>
      </c>
      <c r="AO8" s="178">
        <f t="shared" si="3"/>
        <v>2.75</v>
      </c>
      <c r="AP8" s="178">
        <f t="shared" si="3"/>
        <v>2.75</v>
      </c>
      <c r="AQ8" s="178">
        <f t="shared" si="3"/>
        <v>2.75</v>
      </c>
      <c r="AR8" s="178">
        <f t="shared" si="3"/>
        <v>2.75</v>
      </c>
      <c r="AS8" s="178">
        <f t="shared" si="3"/>
        <v>2.75</v>
      </c>
      <c r="AT8" s="178">
        <f t="shared" si="3"/>
        <v>2.75</v>
      </c>
      <c r="AU8" s="178">
        <f t="shared" si="3"/>
        <v>2.75</v>
      </c>
      <c r="AV8" s="178">
        <f t="shared" si="3"/>
        <v>2.75</v>
      </c>
      <c r="AW8" s="178">
        <f t="shared" si="3"/>
        <v>2.75</v>
      </c>
      <c r="AX8" s="178">
        <f t="shared" si="3"/>
        <v>2.75</v>
      </c>
      <c r="AY8" s="178">
        <f t="shared" si="3"/>
        <v>2.75</v>
      </c>
      <c r="AZ8" s="178">
        <f t="shared" si="3"/>
        <v>2.75</v>
      </c>
      <c r="BA8" s="178">
        <f t="shared" si="3"/>
        <v>2.75</v>
      </c>
      <c r="BB8" s="178">
        <f t="shared" si="3"/>
        <v>2.75</v>
      </c>
      <c r="BC8" s="178">
        <f t="shared" si="3"/>
        <v>2.75</v>
      </c>
      <c r="BD8" s="178">
        <f t="shared" si="3"/>
        <v>2.75</v>
      </c>
      <c r="BE8" s="178">
        <f t="shared" si="3"/>
        <v>2.75</v>
      </c>
      <c r="BF8" s="178">
        <f t="shared" si="3"/>
        <v>2.75</v>
      </c>
      <c r="BG8" s="178">
        <f t="shared" si="3"/>
        <v>2.75</v>
      </c>
      <c r="BH8" s="178">
        <f t="shared" si="3"/>
        <v>2.75</v>
      </c>
      <c r="BI8" s="178">
        <f t="shared" si="3"/>
        <v>2.75</v>
      </c>
      <c r="BJ8" s="179">
        <f t="shared" si="3"/>
        <v>2.75</v>
      </c>
    </row>
    <row r="9" spans="2:62" x14ac:dyDescent="0.2">
      <c r="B9" s="175" t="s">
        <v>66</v>
      </c>
      <c r="C9" s="292"/>
      <c r="D9" s="292"/>
      <c r="E9" s="292">
        <v>0</v>
      </c>
      <c r="F9" s="292">
        <f t="shared" ref="F9:BJ9" si="4">F7/F8</f>
        <v>2851.7341040462429</v>
      </c>
      <c r="G9" s="180">
        <f t="shared" si="4"/>
        <v>7272.727272727273</v>
      </c>
      <c r="H9" s="180">
        <f t="shared" si="4"/>
        <v>7272.727272727273</v>
      </c>
      <c r="I9" s="180">
        <f t="shared" si="4"/>
        <v>7272.727272727273</v>
      </c>
      <c r="J9" s="180">
        <f t="shared" si="4"/>
        <v>7272.727272727273</v>
      </c>
      <c r="K9" s="180">
        <f t="shared" si="4"/>
        <v>7272.727272727273</v>
      </c>
      <c r="L9" s="180">
        <f t="shared" si="4"/>
        <v>7272.727272727273</v>
      </c>
      <c r="M9" s="180">
        <f t="shared" si="4"/>
        <v>7272.727272727273</v>
      </c>
      <c r="N9" s="180">
        <f t="shared" si="4"/>
        <v>7272.727272727273</v>
      </c>
      <c r="O9" s="180">
        <f t="shared" si="4"/>
        <v>7272.727272727273</v>
      </c>
      <c r="P9" s="180">
        <f t="shared" si="4"/>
        <v>7272.727272727273</v>
      </c>
      <c r="Q9" s="180">
        <f t="shared" si="4"/>
        <v>7272.727272727273</v>
      </c>
      <c r="R9" s="180">
        <f t="shared" si="4"/>
        <v>7272.727272727273</v>
      </c>
      <c r="S9" s="180">
        <f t="shared" si="4"/>
        <v>7272.727272727273</v>
      </c>
      <c r="T9" s="180">
        <f t="shared" si="4"/>
        <v>7272.727272727273</v>
      </c>
      <c r="U9" s="180">
        <f t="shared" si="4"/>
        <v>7272.727272727273</v>
      </c>
      <c r="V9" s="180">
        <f t="shared" si="4"/>
        <v>7272.727272727273</v>
      </c>
      <c r="W9" s="180">
        <f t="shared" si="4"/>
        <v>7272.727272727273</v>
      </c>
      <c r="X9" s="180">
        <f t="shared" si="4"/>
        <v>7272.727272727273</v>
      </c>
      <c r="Y9" s="180">
        <f t="shared" si="4"/>
        <v>7272.727272727273</v>
      </c>
      <c r="Z9" s="180">
        <f t="shared" si="4"/>
        <v>7272.727272727273</v>
      </c>
      <c r="AA9" s="180">
        <f t="shared" si="4"/>
        <v>7272.727272727273</v>
      </c>
      <c r="AB9" s="180">
        <f t="shared" si="4"/>
        <v>7272.727272727273</v>
      </c>
      <c r="AC9" s="180">
        <f t="shared" si="4"/>
        <v>7272.727272727273</v>
      </c>
      <c r="AD9" s="180">
        <f t="shared" si="4"/>
        <v>7272.727272727273</v>
      </c>
      <c r="AE9" s="180">
        <f t="shared" si="4"/>
        <v>7272.727272727273</v>
      </c>
      <c r="AF9" s="180">
        <f t="shared" si="4"/>
        <v>7272.727272727273</v>
      </c>
      <c r="AG9" s="180">
        <f t="shared" si="4"/>
        <v>7272.727272727273</v>
      </c>
      <c r="AH9" s="180">
        <f t="shared" si="4"/>
        <v>7272.727272727273</v>
      </c>
      <c r="AI9" s="180">
        <f t="shared" si="4"/>
        <v>7272.727272727273</v>
      </c>
      <c r="AJ9" s="180">
        <f t="shared" si="4"/>
        <v>7272.727272727273</v>
      </c>
      <c r="AK9" s="180">
        <f t="shared" si="4"/>
        <v>7272.727272727273</v>
      </c>
      <c r="AL9" s="180">
        <f t="shared" si="4"/>
        <v>7272.727272727273</v>
      </c>
      <c r="AM9" s="180">
        <f t="shared" si="4"/>
        <v>7272.727272727273</v>
      </c>
      <c r="AN9" s="180">
        <f t="shared" si="4"/>
        <v>7272.727272727273</v>
      </c>
      <c r="AO9" s="180">
        <f t="shared" si="4"/>
        <v>7272.727272727273</v>
      </c>
      <c r="AP9" s="180">
        <f t="shared" si="4"/>
        <v>7272.727272727273</v>
      </c>
      <c r="AQ9" s="180">
        <f t="shared" si="4"/>
        <v>7272.727272727273</v>
      </c>
      <c r="AR9" s="180">
        <f t="shared" si="4"/>
        <v>7272.727272727273</v>
      </c>
      <c r="AS9" s="180">
        <f t="shared" si="4"/>
        <v>7272.727272727273</v>
      </c>
      <c r="AT9" s="180">
        <f t="shared" si="4"/>
        <v>7272.727272727273</v>
      </c>
      <c r="AU9" s="180">
        <f t="shared" si="4"/>
        <v>7272.727272727273</v>
      </c>
      <c r="AV9" s="180">
        <f t="shared" si="4"/>
        <v>7272.727272727273</v>
      </c>
      <c r="AW9" s="180">
        <f t="shared" si="4"/>
        <v>7272.727272727273</v>
      </c>
      <c r="AX9" s="180">
        <f t="shared" si="4"/>
        <v>7272.727272727273</v>
      </c>
      <c r="AY9" s="180">
        <f t="shared" si="4"/>
        <v>7272.727272727273</v>
      </c>
      <c r="AZ9" s="180">
        <f t="shared" si="4"/>
        <v>7272.727272727273</v>
      </c>
      <c r="BA9" s="180">
        <f t="shared" si="4"/>
        <v>7272.727272727273</v>
      </c>
      <c r="BB9" s="180">
        <f t="shared" si="4"/>
        <v>7272.727272727273</v>
      </c>
      <c r="BC9" s="180">
        <f t="shared" si="4"/>
        <v>7272.727272727273</v>
      </c>
      <c r="BD9" s="180">
        <f t="shared" si="4"/>
        <v>7272.727272727273</v>
      </c>
      <c r="BE9" s="180">
        <f t="shared" si="4"/>
        <v>7272.727272727273</v>
      </c>
      <c r="BF9" s="180">
        <f t="shared" si="4"/>
        <v>7272.727272727273</v>
      </c>
      <c r="BG9" s="180">
        <f t="shared" si="4"/>
        <v>7272.727272727273</v>
      </c>
      <c r="BH9" s="180">
        <f t="shared" si="4"/>
        <v>7272.727272727273</v>
      </c>
      <c r="BI9" s="180">
        <f t="shared" si="4"/>
        <v>7272.727272727273</v>
      </c>
      <c r="BJ9" s="181">
        <f t="shared" si="4"/>
        <v>7272.727272727273</v>
      </c>
    </row>
    <row r="10" spans="2:62" ht="17" thickBot="1" x14ac:dyDescent="0.25">
      <c r="B10" s="175" t="s">
        <v>67</v>
      </c>
      <c r="C10" s="294"/>
      <c r="D10" s="294"/>
      <c r="E10" s="294"/>
      <c r="F10" s="294">
        <v>1.21E-2</v>
      </c>
      <c r="G10" s="182">
        <f t="shared" ref="G10:AH10" si="5">GoogleToSubConversion</f>
        <v>1.2E-2</v>
      </c>
      <c r="H10" s="182">
        <f t="shared" si="5"/>
        <v>1.2E-2</v>
      </c>
      <c r="I10" s="182">
        <f t="shared" si="5"/>
        <v>1.2E-2</v>
      </c>
      <c r="J10" s="182">
        <f t="shared" si="5"/>
        <v>1.2E-2</v>
      </c>
      <c r="K10" s="182">
        <f t="shared" si="5"/>
        <v>1.2E-2</v>
      </c>
      <c r="L10" s="182">
        <f t="shared" si="5"/>
        <v>1.2E-2</v>
      </c>
      <c r="M10" s="182">
        <f t="shared" si="5"/>
        <v>1.2E-2</v>
      </c>
      <c r="N10" s="182">
        <f t="shared" si="5"/>
        <v>1.2E-2</v>
      </c>
      <c r="O10" s="182">
        <f t="shared" si="5"/>
        <v>1.2E-2</v>
      </c>
      <c r="P10" s="182">
        <f t="shared" si="5"/>
        <v>1.2E-2</v>
      </c>
      <c r="Q10" s="182">
        <f t="shared" si="5"/>
        <v>1.2E-2</v>
      </c>
      <c r="R10" s="182">
        <f t="shared" si="5"/>
        <v>1.2E-2</v>
      </c>
      <c r="S10" s="182">
        <f t="shared" si="5"/>
        <v>1.2E-2</v>
      </c>
      <c r="T10" s="182">
        <f t="shared" si="5"/>
        <v>1.2E-2</v>
      </c>
      <c r="U10" s="182">
        <f t="shared" si="5"/>
        <v>1.2E-2</v>
      </c>
      <c r="V10" s="182">
        <f t="shared" si="5"/>
        <v>1.2E-2</v>
      </c>
      <c r="W10" s="182">
        <f t="shared" si="5"/>
        <v>1.2E-2</v>
      </c>
      <c r="X10" s="182">
        <f t="shared" si="5"/>
        <v>1.2E-2</v>
      </c>
      <c r="Y10" s="182">
        <f t="shared" si="5"/>
        <v>1.2E-2</v>
      </c>
      <c r="Z10" s="182">
        <f t="shared" si="5"/>
        <v>1.2E-2</v>
      </c>
      <c r="AA10" s="182">
        <f t="shared" si="5"/>
        <v>1.2E-2</v>
      </c>
      <c r="AB10" s="182">
        <f t="shared" si="5"/>
        <v>1.2E-2</v>
      </c>
      <c r="AC10" s="182">
        <f t="shared" si="5"/>
        <v>1.2E-2</v>
      </c>
      <c r="AD10" s="182">
        <f t="shared" si="5"/>
        <v>1.2E-2</v>
      </c>
      <c r="AE10" s="182">
        <f t="shared" si="5"/>
        <v>1.2E-2</v>
      </c>
      <c r="AF10" s="182">
        <f t="shared" si="5"/>
        <v>1.2E-2</v>
      </c>
      <c r="AG10" s="182">
        <f t="shared" si="5"/>
        <v>1.2E-2</v>
      </c>
      <c r="AH10" s="182">
        <f t="shared" si="5"/>
        <v>1.2E-2</v>
      </c>
      <c r="AI10" s="182">
        <f t="shared" ref="AI10:BJ10" si="6">GoogleToSubConversion</f>
        <v>1.2E-2</v>
      </c>
      <c r="AJ10" s="182">
        <f t="shared" si="6"/>
        <v>1.2E-2</v>
      </c>
      <c r="AK10" s="182">
        <f t="shared" si="6"/>
        <v>1.2E-2</v>
      </c>
      <c r="AL10" s="182">
        <f t="shared" si="6"/>
        <v>1.2E-2</v>
      </c>
      <c r="AM10" s="182">
        <f t="shared" si="6"/>
        <v>1.2E-2</v>
      </c>
      <c r="AN10" s="182">
        <f t="shared" si="6"/>
        <v>1.2E-2</v>
      </c>
      <c r="AO10" s="182">
        <f t="shared" si="6"/>
        <v>1.2E-2</v>
      </c>
      <c r="AP10" s="182">
        <f t="shared" si="6"/>
        <v>1.2E-2</v>
      </c>
      <c r="AQ10" s="182">
        <f t="shared" si="6"/>
        <v>1.2E-2</v>
      </c>
      <c r="AR10" s="182">
        <f t="shared" si="6"/>
        <v>1.2E-2</v>
      </c>
      <c r="AS10" s="182">
        <f t="shared" si="6"/>
        <v>1.2E-2</v>
      </c>
      <c r="AT10" s="182">
        <f t="shared" si="6"/>
        <v>1.2E-2</v>
      </c>
      <c r="AU10" s="182">
        <f t="shared" si="6"/>
        <v>1.2E-2</v>
      </c>
      <c r="AV10" s="182">
        <f t="shared" si="6"/>
        <v>1.2E-2</v>
      </c>
      <c r="AW10" s="182">
        <f t="shared" si="6"/>
        <v>1.2E-2</v>
      </c>
      <c r="AX10" s="182">
        <f t="shared" si="6"/>
        <v>1.2E-2</v>
      </c>
      <c r="AY10" s="182">
        <f t="shared" si="6"/>
        <v>1.2E-2</v>
      </c>
      <c r="AZ10" s="182">
        <f t="shared" si="6"/>
        <v>1.2E-2</v>
      </c>
      <c r="BA10" s="182">
        <f t="shared" si="6"/>
        <v>1.2E-2</v>
      </c>
      <c r="BB10" s="182">
        <f t="shared" si="6"/>
        <v>1.2E-2</v>
      </c>
      <c r="BC10" s="182">
        <f t="shared" si="6"/>
        <v>1.2E-2</v>
      </c>
      <c r="BD10" s="182">
        <f t="shared" si="6"/>
        <v>1.2E-2</v>
      </c>
      <c r="BE10" s="182">
        <f t="shared" si="6"/>
        <v>1.2E-2</v>
      </c>
      <c r="BF10" s="182">
        <f t="shared" si="6"/>
        <v>1.2E-2</v>
      </c>
      <c r="BG10" s="182">
        <f t="shared" si="6"/>
        <v>1.2E-2</v>
      </c>
      <c r="BH10" s="182">
        <f t="shared" si="6"/>
        <v>1.2E-2</v>
      </c>
      <c r="BI10" s="182">
        <f t="shared" si="6"/>
        <v>1.2E-2</v>
      </c>
      <c r="BJ10" s="183">
        <f t="shared" si="6"/>
        <v>1.2E-2</v>
      </c>
    </row>
    <row r="11" spans="2:62" ht="17" thickBot="1" x14ac:dyDescent="0.25">
      <c r="B11" s="184" t="s">
        <v>58</v>
      </c>
      <c r="C11" s="304">
        <f t="shared" ref="C11:AH11" si="7">ROUND(C9*C10,0)</f>
        <v>0</v>
      </c>
      <c r="D11" s="304">
        <f t="shared" si="7"/>
        <v>0</v>
      </c>
      <c r="E11" s="304">
        <f t="shared" si="7"/>
        <v>0</v>
      </c>
      <c r="F11" s="304">
        <f t="shared" si="7"/>
        <v>35</v>
      </c>
      <c r="G11" s="185">
        <f t="shared" si="7"/>
        <v>87</v>
      </c>
      <c r="H11" s="185">
        <f t="shared" si="7"/>
        <v>87</v>
      </c>
      <c r="I11" s="185">
        <f t="shared" si="7"/>
        <v>87</v>
      </c>
      <c r="J11" s="185">
        <f t="shared" si="7"/>
        <v>87</v>
      </c>
      <c r="K11" s="185">
        <f t="shared" si="7"/>
        <v>87</v>
      </c>
      <c r="L11" s="185">
        <f t="shared" si="7"/>
        <v>87</v>
      </c>
      <c r="M11" s="185">
        <f t="shared" si="7"/>
        <v>87</v>
      </c>
      <c r="N11" s="185">
        <f t="shared" si="7"/>
        <v>87</v>
      </c>
      <c r="O11" s="185">
        <f t="shared" si="7"/>
        <v>87</v>
      </c>
      <c r="P11" s="185">
        <f t="shared" si="7"/>
        <v>87</v>
      </c>
      <c r="Q11" s="185">
        <f t="shared" si="7"/>
        <v>87</v>
      </c>
      <c r="R11" s="185">
        <f t="shared" si="7"/>
        <v>87</v>
      </c>
      <c r="S11" s="185">
        <f t="shared" si="7"/>
        <v>87</v>
      </c>
      <c r="T11" s="185">
        <f t="shared" si="7"/>
        <v>87</v>
      </c>
      <c r="U11" s="185">
        <f t="shared" si="7"/>
        <v>87</v>
      </c>
      <c r="V11" s="185">
        <f t="shared" si="7"/>
        <v>87</v>
      </c>
      <c r="W11" s="185">
        <f t="shared" si="7"/>
        <v>87</v>
      </c>
      <c r="X11" s="185">
        <f t="shared" si="7"/>
        <v>87</v>
      </c>
      <c r="Y11" s="185">
        <f t="shared" si="7"/>
        <v>87</v>
      </c>
      <c r="Z11" s="185">
        <f t="shared" si="7"/>
        <v>87</v>
      </c>
      <c r="AA11" s="185">
        <f t="shared" si="7"/>
        <v>87</v>
      </c>
      <c r="AB11" s="185">
        <f t="shared" si="7"/>
        <v>87</v>
      </c>
      <c r="AC11" s="185">
        <f t="shared" si="7"/>
        <v>87</v>
      </c>
      <c r="AD11" s="185">
        <f t="shared" si="7"/>
        <v>87</v>
      </c>
      <c r="AE11" s="185">
        <f t="shared" si="7"/>
        <v>87</v>
      </c>
      <c r="AF11" s="185">
        <f t="shared" si="7"/>
        <v>87</v>
      </c>
      <c r="AG11" s="185">
        <f t="shared" si="7"/>
        <v>87</v>
      </c>
      <c r="AH11" s="185">
        <f t="shared" si="7"/>
        <v>87</v>
      </c>
      <c r="AI11" s="185">
        <f t="shared" ref="AI11:BJ11" si="8">ROUND(AI9*AI10,0)</f>
        <v>87</v>
      </c>
      <c r="AJ11" s="185">
        <f t="shared" si="8"/>
        <v>87</v>
      </c>
      <c r="AK11" s="185">
        <f t="shared" si="8"/>
        <v>87</v>
      </c>
      <c r="AL11" s="185">
        <f t="shared" si="8"/>
        <v>87</v>
      </c>
      <c r="AM11" s="185">
        <f t="shared" si="8"/>
        <v>87</v>
      </c>
      <c r="AN11" s="185">
        <f t="shared" si="8"/>
        <v>87</v>
      </c>
      <c r="AO11" s="185">
        <f t="shared" si="8"/>
        <v>87</v>
      </c>
      <c r="AP11" s="185">
        <f t="shared" si="8"/>
        <v>87</v>
      </c>
      <c r="AQ11" s="185">
        <f t="shared" si="8"/>
        <v>87</v>
      </c>
      <c r="AR11" s="185">
        <f t="shared" si="8"/>
        <v>87</v>
      </c>
      <c r="AS11" s="185">
        <f t="shared" si="8"/>
        <v>87</v>
      </c>
      <c r="AT11" s="185">
        <f t="shared" si="8"/>
        <v>87</v>
      </c>
      <c r="AU11" s="185">
        <f t="shared" si="8"/>
        <v>87</v>
      </c>
      <c r="AV11" s="185">
        <f t="shared" si="8"/>
        <v>87</v>
      </c>
      <c r="AW11" s="185">
        <f t="shared" si="8"/>
        <v>87</v>
      </c>
      <c r="AX11" s="185">
        <f t="shared" si="8"/>
        <v>87</v>
      </c>
      <c r="AY11" s="185">
        <f t="shared" si="8"/>
        <v>87</v>
      </c>
      <c r="AZ11" s="185">
        <f t="shared" si="8"/>
        <v>87</v>
      </c>
      <c r="BA11" s="185">
        <f t="shared" si="8"/>
        <v>87</v>
      </c>
      <c r="BB11" s="185">
        <f t="shared" si="8"/>
        <v>87</v>
      </c>
      <c r="BC11" s="185">
        <f t="shared" si="8"/>
        <v>87</v>
      </c>
      <c r="BD11" s="185">
        <f t="shared" si="8"/>
        <v>87</v>
      </c>
      <c r="BE11" s="185">
        <f t="shared" si="8"/>
        <v>87</v>
      </c>
      <c r="BF11" s="185">
        <f t="shared" si="8"/>
        <v>87</v>
      </c>
      <c r="BG11" s="185">
        <f t="shared" si="8"/>
        <v>87</v>
      </c>
      <c r="BH11" s="185">
        <f t="shared" si="8"/>
        <v>87</v>
      </c>
      <c r="BI11" s="185">
        <f t="shared" si="8"/>
        <v>87</v>
      </c>
      <c r="BJ11" s="186">
        <f t="shared" si="8"/>
        <v>87</v>
      </c>
    </row>
    <row r="12" spans="2:62" s="17" customFormat="1" x14ac:dyDescent="0.2">
      <c r="B12" s="404" t="s">
        <v>208</v>
      </c>
      <c r="C12" s="334"/>
      <c r="D12" s="334"/>
      <c r="E12" s="334"/>
      <c r="F12" s="334">
        <v>2605</v>
      </c>
      <c r="G12" s="410">
        <v>2606</v>
      </c>
      <c r="H12" s="410">
        <v>2607</v>
      </c>
      <c r="I12" s="410">
        <v>2608</v>
      </c>
      <c r="J12" s="410">
        <v>2609</v>
      </c>
      <c r="K12" s="410">
        <v>2610</v>
      </c>
      <c r="L12" s="410">
        <v>2611</v>
      </c>
      <c r="M12" s="410">
        <v>2612</v>
      </c>
      <c r="N12" s="410">
        <v>2613</v>
      </c>
      <c r="O12" s="410">
        <v>2614</v>
      </c>
      <c r="P12" s="410">
        <v>2615</v>
      </c>
      <c r="Q12" s="410">
        <v>2616</v>
      </c>
      <c r="R12" s="410">
        <v>2617</v>
      </c>
      <c r="S12" s="410">
        <v>2618</v>
      </c>
      <c r="T12" s="410">
        <v>2619</v>
      </c>
      <c r="U12" s="410">
        <v>2620</v>
      </c>
      <c r="V12" s="410">
        <v>2621</v>
      </c>
      <c r="W12" s="410">
        <v>2622</v>
      </c>
      <c r="X12" s="410">
        <v>2623</v>
      </c>
      <c r="Y12" s="410">
        <v>2624</v>
      </c>
      <c r="Z12" s="410">
        <v>2625</v>
      </c>
      <c r="AA12" s="410">
        <v>2626</v>
      </c>
      <c r="AB12" s="410">
        <v>2627</v>
      </c>
      <c r="AC12" s="410">
        <v>2628</v>
      </c>
      <c r="AD12" s="410">
        <v>2629</v>
      </c>
      <c r="AE12" s="410">
        <v>2630</v>
      </c>
      <c r="AF12" s="410">
        <v>2631</v>
      </c>
      <c r="AG12" s="410">
        <v>2632</v>
      </c>
      <c r="AH12" s="410">
        <v>2633</v>
      </c>
      <c r="AI12" s="410">
        <v>2634</v>
      </c>
      <c r="AJ12" s="410">
        <v>2635</v>
      </c>
      <c r="AK12" s="410">
        <v>2636</v>
      </c>
      <c r="AL12" s="410">
        <v>2637</v>
      </c>
      <c r="AM12" s="410">
        <v>2638</v>
      </c>
      <c r="AN12" s="410">
        <v>2639</v>
      </c>
      <c r="AO12" s="410">
        <v>2640</v>
      </c>
      <c r="AP12" s="410">
        <v>2641</v>
      </c>
      <c r="AQ12" s="410">
        <v>2642</v>
      </c>
      <c r="AR12" s="410">
        <v>2643</v>
      </c>
      <c r="AS12" s="410">
        <v>2644</v>
      </c>
      <c r="AT12" s="410">
        <v>2645</v>
      </c>
      <c r="AU12" s="410">
        <v>2646</v>
      </c>
      <c r="AV12" s="410">
        <v>2647</v>
      </c>
      <c r="AW12" s="410">
        <v>2648</v>
      </c>
      <c r="AX12" s="410">
        <v>2649</v>
      </c>
      <c r="AY12" s="410">
        <v>2650</v>
      </c>
      <c r="AZ12" s="410">
        <v>2651</v>
      </c>
      <c r="BA12" s="410">
        <v>2652</v>
      </c>
      <c r="BB12" s="410">
        <v>2653</v>
      </c>
      <c r="BC12" s="410">
        <v>2654</v>
      </c>
      <c r="BD12" s="410">
        <v>2655</v>
      </c>
      <c r="BE12" s="410">
        <v>2656</v>
      </c>
      <c r="BF12" s="410">
        <v>2657</v>
      </c>
      <c r="BG12" s="410">
        <v>2658</v>
      </c>
      <c r="BH12" s="410">
        <v>2659</v>
      </c>
      <c r="BI12" s="410">
        <v>2660</v>
      </c>
      <c r="BJ12" s="411">
        <v>2661</v>
      </c>
    </row>
    <row r="13" spans="2:62" s="17" customFormat="1" x14ac:dyDescent="0.2">
      <c r="B13" s="335" t="s">
        <v>213</v>
      </c>
      <c r="C13" s="269"/>
      <c r="D13" s="269"/>
      <c r="E13" s="269"/>
      <c r="F13" s="269">
        <f>F12+F7</f>
        <v>12472</v>
      </c>
      <c r="G13" s="318">
        <f t="shared" ref="G13:BJ13" si="9">G12+G7</f>
        <v>22606</v>
      </c>
      <c r="H13" s="318">
        <f t="shared" si="9"/>
        <v>22607</v>
      </c>
      <c r="I13" s="318">
        <f t="shared" si="9"/>
        <v>22608</v>
      </c>
      <c r="J13" s="318">
        <f t="shared" si="9"/>
        <v>22609</v>
      </c>
      <c r="K13" s="318">
        <f t="shared" si="9"/>
        <v>22610</v>
      </c>
      <c r="L13" s="318">
        <f t="shared" si="9"/>
        <v>22611</v>
      </c>
      <c r="M13" s="318">
        <f t="shared" si="9"/>
        <v>22612</v>
      </c>
      <c r="N13" s="318">
        <f t="shared" si="9"/>
        <v>22613</v>
      </c>
      <c r="O13" s="318">
        <f t="shared" si="9"/>
        <v>22614</v>
      </c>
      <c r="P13" s="318">
        <f t="shared" si="9"/>
        <v>22615</v>
      </c>
      <c r="Q13" s="318">
        <f t="shared" si="9"/>
        <v>22616</v>
      </c>
      <c r="R13" s="318">
        <f t="shared" si="9"/>
        <v>22617</v>
      </c>
      <c r="S13" s="318">
        <f t="shared" si="9"/>
        <v>22618</v>
      </c>
      <c r="T13" s="318">
        <f t="shared" si="9"/>
        <v>22619</v>
      </c>
      <c r="U13" s="318">
        <f t="shared" si="9"/>
        <v>22620</v>
      </c>
      <c r="V13" s="318">
        <f t="shared" si="9"/>
        <v>22621</v>
      </c>
      <c r="W13" s="318">
        <f t="shared" si="9"/>
        <v>22622</v>
      </c>
      <c r="X13" s="318">
        <f t="shared" si="9"/>
        <v>22623</v>
      </c>
      <c r="Y13" s="318">
        <f t="shared" si="9"/>
        <v>22624</v>
      </c>
      <c r="Z13" s="318">
        <f t="shared" si="9"/>
        <v>22625</v>
      </c>
      <c r="AA13" s="318">
        <f t="shared" si="9"/>
        <v>22626</v>
      </c>
      <c r="AB13" s="318">
        <f t="shared" si="9"/>
        <v>22627</v>
      </c>
      <c r="AC13" s="318">
        <f t="shared" si="9"/>
        <v>22628</v>
      </c>
      <c r="AD13" s="318">
        <f t="shared" si="9"/>
        <v>22629</v>
      </c>
      <c r="AE13" s="318">
        <f t="shared" si="9"/>
        <v>22630</v>
      </c>
      <c r="AF13" s="318">
        <f t="shared" si="9"/>
        <v>22631</v>
      </c>
      <c r="AG13" s="318">
        <f t="shared" si="9"/>
        <v>22632</v>
      </c>
      <c r="AH13" s="318">
        <f t="shared" si="9"/>
        <v>22633</v>
      </c>
      <c r="AI13" s="318">
        <f t="shared" si="9"/>
        <v>22634</v>
      </c>
      <c r="AJ13" s="318">
        <f t="shared" si="9"/>
        <v>22635</v>
      </c>
      <c r="AK13" s="318">
        <f t="shared" si="9"/>
        <v>22636</v>
      </c>
      <c r="AL13" s="318">
        <f t="shared" si="9"/>
        <v>22637</v>
      </c>
      <c r="AM13" s="318">
        <f t="shared" si="9"/>
        <v>22638</v>
      </c>
      <c r="AN13" s="318">
        <f t="shared" si="9"/>
        <v>22639</v>
      </c>
      <c r="AO13" s="318">
        <f t="shared" si="9"/>
        <v>22640</v>
      </c>
      <c r="AP13" s="318">
        <f t="shared" si="9"/>
        <v>22641</v>
      </c>
      <c r="AQ13" s="318">
        <f t="shared" si="9"/>
        <v>22642</v>
      </c>
      <c r="AR13" s="318">
        <f t="shared" si="9"/>
        <v>22643</v>
      </c>
      <c r="AS13" s="318">
        <f t="shared" si="9"/>
        <v>22644</v>
      </c>
      <c r="AT13" s="318">
        <f t="shared" si="9"/>
        <v>22645</v>
      </c>
      <c r="AU13" s="318">
        <f t="shared" si="9"/>
        <v>22646</v>
      </c>
      <c r="AV13" s="318">
        <f t="shared" si="9"/>
        <v>22647</v>
      </c>
      <c r="AW13" s="318">
        <f t="shared" si="9"/>
        <v>22648</v>
      </c>
      <c r="AX13" s="318">
        <f t="shared" si="9"/>
        <v>22649</v>
      </c>
      <c r="AY13" s="318">
        <f t="shared" si="9"/>
        <v>22650</v>
      </c>
      <c r="AZ13" s="318">
        <f t="shared" si="9"/>
        <v>22651</v>
      </c>
      <c r="BA13" s="318">
        <f t="shared" si="9"/>
        <v>22652</v>
      </c>
      <c r="BB13" s="318">
        <f t="shared" si="9"/>
        <v>22653</v>
      </c>
      <c r="BC13" s="318">
        <f t="shared" si="9"/>
        <v>22654</v>
      </c>
      <c r="BD13" s="318">
        <f t="shared" si="9"/>
        <v>22655</v>
      </c>
      <c r="BE13" s="318">
        <f t="shared" si="9"/>
        <v>22656</v>
      </c>
      <c r="BF13" s="318">
        <f t="shared" si="9"/>
        <v>22657</v>
      </c>
      <c r="BG13" s="318">
        <f t="shared" si="9"/>
        <v>22658</v>
      </c>
      <c r="BH13" s="318">
        <f t="shared" si="9"/>
        <v>22659</v>
      </c>
      <c r="BI13" s="318">
        <f t="shared" si="9"/>
        <v>22660</v>
      </c>
      <c r="BJ13" s="405">
        <f t="shared" si="9"/>
        <v>22661</v>
      </c>
    </row>
    <row r="14" spans="2:62" s="319" customFormat="1" x14ac:dyDescent="0.2">
      <c r="B14" s="317" t="s">
        <v>86</v>
      </c>
      <c r="C14" s="312"/>
      <c r="D14" s="312"/>
      <c r="E14" s="312"/>
      <c r="F14" s="312">
        <f>F13/F11</f>
        <v>356.34285714285716</v>
      </c>
      <c r="G14" s="318">
        <f t="shared" ref="G14:BJ14" si="10">G13/G11</f>
        <v>259.83908045977012</v>
      </c>
      <c r="H14" s="318">
        <f t="shared" si="10"/>
        <v>259.85057471264366</v>
      </c>
      <c r="I14" s="318">
        <f t="shared" si="10"/>
        <v>259.86206896551727</v>
      </c>
      <c r="J14" s="318">
        <f t="shared" si="10"/>
        <v>259.87356321839081</v>
      </c>
      <c r="K14" s="318">
        <f t="shared" si="10"/>
        <v>259.88505747126436</v>
      </c>
      <c r="L14" s="318">
        <f t="shared" si="10"/>
        <v>259.89655172413791</v>
      </c>
      <c r="M14" s="318">
        <f t="shared" si="10"/>
        <v>259.90804597701151</v>
      </c>
      <c r="N14" s="318">
        <f t="shared" si="10"/>
        <v>259.91954022988506</v>
      </c>
      <c r="O14" s="318">
        <f t="shared" si="10"/>
        <v>259.93103448275861</v>
      </c>
      <c r="P14" s="318">
        <f t="shared" si="10"/>
        <v>259.94252873563221</v>
      </c>
      <c r="Q14" s="318">
        <f t="shared" si="10"/>
        <v>259.95402298850576</v>
      </c>
      <c r="R14" s="318">
        <f t="shared" si="10"/>
        <v>259.9655172413793</v>
      </c>
      <c r="S14" s="318">
        <f t="shared" si="10"/>
        <v>259.97701149425285</v>
      </c>
      <c r="T14" s="318">
        <f t="shared" si="10"/>
        <v>259.98850574712645</v>
      </c>
      <c r="U14" s="318">
        <f t="shared" si="10"/>
        <v>260</v>
      </c>
      <c r="V14" s="318">
        <f t="shared" si="10"/>
        <v>260.01149425287355</v>
      </c>
      <c r="W14" s="318">
        <f t="shared" si="10"/>
        <v>260.02298850574715</v>
      </c>
      <c r="X14" s="318">
        <f t="shared" si="10"/>
        <v>260.0344827586207</v>
      </c>
      <c r="Y14" s="318">
        <f t="shared" si="10"/>
        <v>260.04597701149424</v>
      </c>
      <c r="Z14" s="318">
        <f t="shared" si="10"/>
        <v>260.05747126436779</v>
      </c>
      <c r="AA14" s="318">
        <f t="shared" si="10"/>
        <v>260.06896551724139</v>
      </c>
      <c r="AB14" s="318">
        <f t="shared" si="10"/>
        <v>260.08045977011494</v>
      </c>
      <c r="AC14" s="318">
        <f t="shared" si="10"/>
        <v>260.09195402298849</v>
      </c>
      <c r="AD14" s="318">
        <f t="shared" si="10"/>
        <v>260.10344827586209</v>
      </c>
      <c r="AE14" s="318">
        <f t="shared" si="10"/>
        <v>260.11494252873564</v>
      </c>
      <c r="AF14" s="318">
        <f t="shared" si="10"/>
        <v>260.12643678160919</v>
      </c>
      <c r="AG14" s="318">
        <f t="shared" si="10"/>
        <v>260.13793103448273</v>
      </c>
      <c r="AH14" s="318">
        <f t="shared" si="10"/>
        <v>260.14942528735634</v>
      </c>
      <c r="AI14" s="318">
        <f t="shared" si="10"/>
        <v>260.16091954022988</v>
      </c>
      <c r="AJ14" s="318">
        <f t="shared" si="10"/>
        <v>260.17241379310343</v>
      </c>
      <c r="AK14" s="318">
        <f t="shared" si="10"/>
        <v>260.18390804597703</v>
      </c>
      <c r="AL14" s="318">
        <f t="shared" si="10"/>
        <v>260.19540229885058</v>
      </c>
      <c r="AM14" s="318">
        <f t="shared" si="10"/>
        <v>260.20689655172413</v>
      </c>
      <c r="AN14" s="318">
        <f t="shared" si="10"/>
        <v>260.21839080459768</v>
      </c>
      <c r="AO14" s="318">
        <f t="shared" si="10"/>
        <v>260.22988505747128</v>
      </c>
      <c r="AP14" s="318">
        <f t="shared" si="10"/>
        <v>260.24137931034483</v>
      </c>
      <c r="AQ14" s="318">
        <f t="shared" si="10"/>
        <v>260.25287356321837</v>
      </c>
      <c r="AR14" s="318">
        <f t="shared" si="10"/>
        <v>260.26436781609198</v>
      </c>
      <c r="AS14" s="318">
        <f t="shared" si="10"/>
        <v>260.27586206896552</v>
      </c>
      <c r="AT14" s="318">
        <f t="shared" si="10"/>
        <v>260.28735632183907</v>
      </c>
      <c r="AU14" s="318">
        <f t="shared" si="10"/>
        <v>260.29885057471262</v>
      </c>
      <c r="AV14" s="318">
        <f t="shared" si="10"/>
        <v>260.31034482758622</v>
      </c>
      <c r="AW14" s="318">
        <f t="shared" si="10"/>
        <v>260.32183908045977</v>
      </c>
      <c r="AX14" s="318">
        <f t="shared" si="10"/>
        <v>260.33333333333331</v>
      </c>
      <c r="AY14" s="318">
        <f t="shared" si="10"/>
        <v>260.34482758620692</v>
      </c>
      <c r="AZ14" s="318">
        <f t="shared" si="10"/>
        <v>260.35632183908046</v>
      </c>
      <c r="BA14" s="318">
        <f t="shared" si="10"/>
        <v>260.36781609195401</v>
      </c>
      <c r="BB14" s="318">
        <f t="shared" si="10"/>
        <v>260.37931034482756</v>
      </c>
      <c r="BC14" s="318">
        <f t="shared" si="10"/>
        <v>260.39080459770116</v>
      </c>
      <c r="BD14" s="318">
        <f t="shared" si="10"/>
        <v>260.40229885057471</v>
      </c>
      <c r="BE14" s="318">
        <f t="shared" si="10"/>
        <v>260.41379310344826</v>
      </c>
      <c r="BF14" s="318">
        <f t="shared" si="10"/>
        <v>260.42528735632186</v>
      </c>
      <c r="BG14" s="318">
        <f t="shared" si="10"/>
        <v>260.43678160919541</v>
      </c>
      <c r="BH14" s="318">
        <f t="shared" si="10"/>
        <v>260.44827586206895</v>
      </c>
      <c r="BI14" s="318">
        <f t="shared" si="10"/>
        <v>260.4597701149425</v>
      </c>
      <c r="BJ14" s="405">
        <f t="shared" si="10"/>
        <v>260.4712643678161</v>
      </c>
    </row>
    <row r="15" spans="2:62" s="26" customFormat="1" x14ac:dyDescent="0.2">
      <c r="B15" s="189"/>
      <c r="C15" s="305"/>
      <c r="D15" s="305"/>
      <c r="E15" s="305"/>
      <c r="F15" s="305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8"/>
    </row>
    <row r="16" spans="2:62" x14ac:dyDescent="0.2">
      <c r="B16" s="175" t="s">
        <v>95</v>
      </c>
      <c r="C16" s="306">
        <f>ROUND(C9*GoogleToOneTimeConversion,0)</f>
        <v>0</v>
      </c>
      <c r="D16" s="306">
        <f>ROUND(D9*GoogleToOneTimeConversion,0)</f>
        <v>0</v>
      </c>
      <c r="E16" s="306">
        <f>ROUND(E9*GoogleToOneTimeConversion,0)</f>
        <v>0</v>
      </c>
      <c r="F16" s="306">
        <v>55</v>
      </c>
      <c r="G16" s="190">
        <f t="shared" ref="G16:AL16" si="11">ROUND(G9*GoogleToOneTimeConversion,0)</f>
        <v>127</v>
      </c>
      <c r="H16" s="190">
        <f t="shared" si="11"/>
        <v>127</v>
      </c>
      <c r="I16" s="190">
        <f t="shared" si="11"/>
        <v>127</v>
      </c>
      <c r="J16" s="190">
        <f t="shared" si="11"/>
        <v>127</v>
      </c>
      <c r="K16" s="190">
        <f t="shared" si="11"/>
        <v>127</v>
      </c>
      <c r="L16" s="190">
        <f t="shared" si="11"/>
        <v>127</v>
      </c>
      <c r="M16" s="190">
        <f t="shared" si="11"/>
        <v>127</v>
      </c>
      <c r="N16" s="190">
        <f t="shared" si="11"/>
        <v>127</v>
      </c>
      <c r="O16" s="190">
        <f t="shared" si="11"/>
        <v>127</v>
      </c>
      <c r="P16" s="190">
        <f t="shared" si="11"/>
        <v>127</v>
      </c>
      <c r="Q16" s="190">
        <f t="shared" si="11"/>
        <v>127</v>
      </c>
      <c r="R16" s="190">
        <f t="shared" si="11"/>
        <v>127</v>
      </c>
      <c r="S16" s="190">
        <f t="shared" si="11"/>
        <v>127</v>
      </c>
      <c r="T16" s="190">
        <f t="shared" si="11"/>
        <v>127</v>
      </c>
      <c r="U16" s="190">
        <f t="shared" si="11"/>
        <v>127</v>
      </c>
      <c r="V16" s="190">
        <f t="shared" si="11"/>
        <v>127</v>
      </c>
      <c r="W16" s="190">
        <f t="shared" si="11"/>
        <v>127</v>
      </c>
      <c r="X16" s="190">
        <f t="shared" si="11"/>
        <v>127</v>
      </c>
      <c r="Y16" s="190">
        <f t="shared" si="11"/>
        <v>127</v>
      </c>
      <c r="Z16" s="190">
        <f t="shared" si="11"/>
        <v>127</v>
      </c>
      <c r="AA16" s="190">
        <f t="shared" si="11"/>
        <v>127</v>
      </c>
      <c r="AB16" s="190">
        <f t="shared" si="11"/>
        <v>127</v>
      </c>
      <c r="AC16" s="190">
        <f t="shared" si="11"/>
        <v>127</v>
      </c>
      <c r="AD16" s="190">
        <f t="shared" si="11"/>
        <v>127</v>
      </c>
      <c r="AE16" s="190">
        <f t="shared" si="11"/>
        <v>127</v>
      </c>
      <c r="AF16" s="190">
        <f t="shared" si="11"/>
        <v>127</v>
      </c>
      <c r="AG16" s="190">
        <f t="shared" si="11"/>
        <v>127</v>
      </c>
      <c r="AH16" s="190">
        <f t="shared" si="11"/>
        <v>127</v>
      </c>
      <c r="AI16" s="190">
        <f t="shared" si="11"/>
        <v>127</v>
      </c>
      <c r="AJ16" s="190">
        <f t="shared" si="11"/>
        <v>127</v>
      </c>
      <c r="AK16" s="190">
        <f t="shared" si="11"/>
        <v>127</v>
      </c>
      <c r="AL16" s="190">
        <f t="shared" si="11"/>
        <v>127</v>
      </c>
      <c r="AM16" s="190">
        <f t="shared" ref="AM16:BJ16" si="12">ROUND(AM9*GoogleToOneTimeConversion,0)</f>
        <v>127</v>
      </c>
      <c r="AN16" s="190">
        <f t="shared" si="12"/>
        <v>127</v>
      </c>
      <c r="AO16" s="190">
        <f t="shared" si="12"/>
        <v>127</v>
      </c>
      <c r="AP16" s="190">
        <f t="shared" si="12"/>
        <v>127</v>
      </c>
      <c r="AQ16" s="190">
        <f t="shared" si="12"/>
        <v>127</v>
      </c>
      <c r="AR16" s="190">
        <f t="shared" si="12"/>
        <v>127</v>
      </c>
      <c r="AS16" s="190">
        <f t="shared" si="12"/>
        <v>127</v>
      </c>
      <c r="AT16" s="190">
        <f t="shared" si="12"/>
        <v>127</v>
      </c>
      <c r="AU16" s="190">
        <f t="shared" si="12"/>
        <v>127</v>
      </c>
      <c r="AV16" s="190">
        <f t="shared" si="12"/>
        <v>127</v>
      </c>
      <c r="AW16" s="190">
        <f t="shared" si="12"/>
        <v>127</v>
      </c>
      <c r="AX16" s="190">
        <f t="shared" si="12"/>
        <v>127</v>
      </c>
      <c r="AY16" s="190">
        <f t="shared" si="12"/>
        <v>127</v>
      </c>
      <c r="AZ16" s="190">
        <f t="shared" si="12"/>
        <v>127</v>
      </c>
      <c r="BA16" s="190">
        <f t="shared" si="12"/>
        <v>127</v>
      </c>
      <c r="BB16" s="190">
        <f t="shared" si="12"/>
        <v>127</v>
      </c>
      <c r="BC16" s="190">
        <f t="shared" si="12"/>
        <v>127</v>
      </c>
      <c r="BD16" s="190">
        <f t="shared" si="12"/>
        <v>127</v>
      </c>
      <c r="BE16" s="190">
        <f t="shared" si="12"/>
        <v>127</v>
      </c>
      <c r="BF16" s="190">
        <f t="shared" si="12"/>
        <v>127</v>
      </c>
      <c r="BG16" s="190">
        <f t="shared" si="12"/>
        <v>127</v>
      </c>
      <c r="BH16" s="190">
        <f t="shared" si="12"/>
        <v>127</v>
      </c>
      <c r="BI16" s="190">
        <f t="shared" si="12"/>
        <v>127</v>
      </c>
      <c r="BJ16" s="191">
        <f t="shared" si="12"/>
        <v>127</v>
      </c>
    </row>
    <row r="17" spans="2:62" ht="17" thickBot="1" x14ac:dyDescent="0.25">
      <c r="B17" s="406" t="s">
        <v>96</v>
      </c>
      <c r="C17" s="407"/>
      <c r="D17" s="407"/>
      <c r="E17" s="407"/>
      <c r="F17" s="407">
        <v>28.12</v>
      </c>
      <c r="G17" s="408">
        <f t="shared" ref="G17:AH17" si="13">AverageBasketSizeOneTimePurchases</f>
        <v>27.5</v>
      </c>
      <c r="H17" s="408">
        <f t="shared" si="13"/>
        <v>27.5</v>
      </c>
      <c r="I17" s="408">
        <f t="shared" si="13"/>
        <v>27.5</v>
      </c>
      <c r="J17" s="408">
        <f t="shared" si="13"/>
        <v>27.5</v>
      </c>
      <c r="K17" s="408">
        <f t="shared" si="13"/>
        <v>27.5</v>
      </c>
      <c r="L17" s="408">
        <f t="shared" si="13"/>
        <v>27.5</v>
      </c>
      <c r="M17" s="408">
        <f t="shared" si="13"/>
        <v>27.5</v>
      </c>
      <c r="N17" s="408">
        <f t="shared" si="13"/>
        <v>27.5</v>
      </c>
      <c r="O17" s="408">
        <f t="shared" si="13"/>
        <v>27.5</v>
      </c>
      <c r="P17" s="408">
        <f t="shared" si="13"/>
        <v>27.5</v>
      </c>
      <c r="Q17" s="408">
        <f t="shared" si="13"/>
        <v>27.5</v>
      </c>
      <c r="R17" s="408">
        <f t="shared" si="13"/>
        <v>27.5</v>
      </c>
      <c r="S17" s="408">
        <f t="shared" si="13"/>
        <v>27.5</v>
      </c>
      <c r="T17" s="408">
        <f t="shared" si="13"/>
        <v>27.5</v>
      </c>
      <c r="U17" s="408">
        <f t="shared" si="13"/>
        <v>27.5</v>
      </c>
      <c r="V17" s="408">
        <f t="shared" si="13"/>
        <v>27.5</v>
      </c>
      <c r="W17" s="408">
        <f t="shared" si="13"/>
        <v>27.5</v>
      </c>
      <c r="X17" s="408">
        <f t="shared" si="13"/>
        <v>27.5</v>
      </c>
      <c r="Y17" s="408">
        <f t="shared" si="13"/>
        <v>27.5</v>
      </c>
      <c r="Z17" s="408">
        <f t="shared" si="13"/>
        <v>27.5</v>
      </c>
      <c r="AA17" s="408">
        <f t="shared" si="13"/>
        <v>27.5</v>
      </c>
      <c r="AB17" s="408">
        <f t="shared" si="13"/>
        <v>27.5</v>
      </c>
      <c r="AC17" s="408">
        <f t="shared" si="13"/>
        <v>27.5</v>
      </c>
      <c r="AD17" s="408">
        <f t="shared" si="13"/>
        <v>27.5</v>
      </c>
      <c r="AE17" s="408">
        <f t="shared" si="13"/>
        <v>27.5</v>
      </c>
      <c r="AF17" s="408">
        <f t="shared" si="13"/>
        <v>27.5</v>
      </c>
      <c r="AG17" s="408">
        <f t="shared" si="13"/>
        <v>27.5</v>
      </c>
      <c r="AH17" s="408">
        <f t="shared" si="13"/>
        <v>27.5</v>
      </c>
      <c r="AI17" s="408">
        <f t="shared" ref="AI17:BJ17" si="14">AverageBasketSizeOneTimePurchases</f>
        <v>27.5</v>
      </c>
      <c r="AJ17" s="408">
        <f t="shared" si="14"/>
        <v>27.5</v>
      </c>
      <c r="AK17" s="408">
        <f t="shared" si="14"/>
        <v>27.5</v>
      </c>
      <c r="AL17" s="408">
        <f t="shared" si="14"/>
        <v>27.5</v>
      </c>
      <c r="AM17" s="408">
        <f t="shared" si="14"/>
        <v>27.5</v>
      </c>
      <c r="AN17" s="408">
        <f t="shared" si="14"/>
        <v>27.5</v>
      </c>
      <c r="AO17" s="408">
        <f t="shared" si="14"/>
        <v>27.5</v>
      </c>
      <c r="AP17" s="408">
        <f t="shared" si="14"/>
        <v>27.5</v>
      </c>
      <c r="AQ17" s="408">
        <f t="shared" si="14"/>
        <v>27.5</v>
      </c>
      <c r="AR17" s="408">
        <f t="shared" si="14"/>
        <v>27.5</v>
      </c>
      <c r="AS17" s="408">
        <f t="shared" si="14"/>
        <v>27.5</v>
      </c>
      <c r="AT17" s="408">
        <f t="shared" si="14"/>
        <v>27.5</v>
      </c>
      <c r="AU17" s="408">
        <f t="shared" si="14"/>
        <v>27.5</v>
      </c>
      <c r="AV17" s="408">
        <f t="shared" si="14"/>
        <v>27.5</v>
      </c>
      <c r="AW17" s="408">
        <f t="shared" si="14"/>
        <v>27.5</v>
      </c>
      <c r="AX17" s="408">
        <f t="shared" si="14"/>
        <v>27.5</v>
      </c>
      <c r="AY17" s="408">
        <f t="shared" si="14"/>
        <v>27.5</v>
      </c>
      <c r="AZ17" s="408">
        <f t="shared" si="14"/>
        <v>27.5</v>
      </c>
      <c r="BA17" s="408">
        <f t="shared" si="14"/>
        <v>27.5</v>
      </c>
      <c r="BB17" s="408">
        <f t="shared" si="14"/>
        <v>27.5</v>
      </c>
      <c r="BC17" s="408">
        <f t="shared" si="14"/>
        <v>27.5</v>
      </c>
      <c r="BD17" s="408">
        <f t="shared" si="14"/>
        <v>27.5</v>
      </c>
      <c r="BE17" s="408">
        <f t="shared" si="14"/>
        <v>27.5</v>
      </c>
      <c r="BF17" s="408">
        <f t="shared" si="14"/>
        <v>27.5</v>
      </c>
      <c r="BG17" s="408">
        <f t="shared" si="14"/>
        <v>27.5</v>
      </c>
      <c r="BH17" s="408">
        <f t="shared" si="14"/>
        <v>27.5</v>
      </c>
      <c r="BI17" s="408">
        <f t="shared" si="14"/>
        <v>27.5</v>
      </c>
      <c r="BJ17" s="409">
        <f t="shared" si="14"/>
        <v>27.5</v>
      </c>
    </row>
    <row r="18" spans="2:62" s="1" customFormat="1" ht="17" thickBot="1" x14ac:dyDescent="0.25">
      <c r="B18" s="193" t="s">
        <v>97</v>
      </c>
      <c r="C18" s="308">
        <f>C17*C16</f>
        <v>0</v>
      </c>
      <c r="D18" s="308">
        <f t="shared" ref="D18:BJ18" si="15">D17*D16</f>
        <v>0</v>
      </c>
      <c r="E18" s="308">
        <f t="shared" si="15"/>
        <v>0</v>
      </c>
      <c r="F18" s="308">
        <f t="shared" si="15"/>
        <v>1546.6000000000001</v>
      </c>
      <c r="G18" s="194">
        <f t="shared" si="15"/>
        <v>3492.5</v>
      </c>
      <c r="H18" s="194">
        <f t="shared" si="15"/>
        <v>3492.5</v>
      </c>
      <c r="I18" s="194">
        <f t="shared" si="15"/>
        <v>3492.5</v>
      </c>
      <c r="J18" s="194">
        <f t="shared" si="15"/>
        <v>3492.5</v>
      </c>
      <c r="K18" s="194">
        <f t="shared" si="15"/>
        <v>3492.5</v>
      </c>
      <c r="L18" s="194">
        <f t="shared" si="15"/>
        <v>3492.5</v>
      </c>
      <c r="M18" s="194">
        <f t="shared" si="15"/>
        <v>3492.5</v>
      </c>
      <c r="N18" s="194">
        <f t="shared" si="15"/>
        <v>3492.5</v>
      </c>
      <c r="O18" s="194">
        <f t="shared" si="15"/>
        <v>3492.5</v>
      </c>
      <c r="P18" s="194">
        <f t="shared" si="15"/>
        <v>3492.5</v>
      </c>
      <c r="Q18" s="194">
        <f t="shared" si="15"/>
        <v>3492.5</v>
      </c>
      <c r="R18" s="194">
        <f t="shared" si="15"/>
        <v>3492.5</v>
      </c>
      <c r="S18" s="194">
        <f t="shared" si="15"/>
        <v>3492.5</v>
      </c>
      <c r="T18" s="194">
        <f t="shared" si="15"/>
        <v>3492.5</v>
      </c>
      <c r="U18" s="194">
        <f t="shared" si="15"/>
        <v>3492.5</v>
      </c>
      <c r="V18" s="194">
        <f t="shared" si="15"/>
        <v>3492.5</v>
      </c>
      <c r="W18" s="194">
        <f t="shared" si="15"/>
        <v>3492.5</v>
      </c>
      <c r="X18" s="194">
        <f t="shared" si="15"/>
        <v>3492.5</v>
      </c>
      <c r="Y18" s="194">
        <f t="shared" si="15"/>
        <v>3492.5</v>
      </c>
      <c r="Z18" s="194">
        <f t="shared" si="15"/>
        <v>3492.5</v>
      </c>
      <c r="AA18" s="194">
        <f t="shared" si="15"/>
        <v>3492.5</v>
      </c>
      <c r="AB18" s="194">
        <f t="shared" si="15"/>
        <v>3492.5</v>
      </c>
      <c r="AC18" s="194">
        <f t="shared" si="15"/>
        <v>3492.5</v>
      </c>
      <c r="AD18" s="194">
        <f t="shared" si="15"/>
        <v>3492.5</v>
      </c>
      <c r="AE18" s="194">
        <f t="shared" si="15"/>
        <v>3492.5</v>
      </c>
      <c r="AF18" s="194">
        <f t="shared" si="15"/>
        <v>3492.5</v>
      </c>
      <c r="AG18" s="194">
        <f t="shared" si="15"/>
        <v>3492.5</v>
      </c>
      <c r="AH18" s="194">
        <f t="shared" si="15"/>
        <v>3492.5</v>
      </c>
      <c r="AI18" s="194">
        <f t="shared" si="15"/>
        <v>3492.5</v>
      </c>
      <c r="AJ18" s="194">
        <f t="shared" si="15"/>
        <v>3492.5</v>
      </c>
      <c r="AK18" s="194">
        <f t="shared" si="15"/>
        <v>3492.5</v>
      </c>
      <c r="AL18" s="194">
        <f t="shared" si="15"/>
        <v>3492.5</v>
      </c>
      <c r="AM18" s="194">
        <f t="shared" si="15"/>
        <v>3492.5</v>
      </c>
      <c r="AN18" s="194">
        <f t="shared" si="15"/>
        <v>3492.5</v>
      </c>
      <c r="AO18" s="194">
        <f t="shared" si="15"/>
        <v>3492.5</v>
      </c>
      <c r="AP18" s="194">
        <f t="shared" si="15"/>
        <v>3492.5</v>
      </c>
      <c r="AQ18" s="194">
        <f t="shared" si="15"/>
        <v>3492.5</v>
      </c>
      <c r="AR18" s="194">
        <f t="shared" si="15"/>
        <v>3492.5</v>
      </c>
      <c r="AS18" s="194">
        <f t="shared" si="15"/>
        <v>3492.5</v>
      </c>
      <c r="AT18" s="194">
        <f t="shared" si="15"/>
        <v>3492.5</v>
      </c>
      <c r="AU18" s="194">
        <f t="shared" si="15"/>
        <v>3492.5</v>
      </c>
      <c r="AV18" s="194">
        <f t="shared" si="15"/>
        <v>3492.5</v>
      </c>
      <c r="AW18" s="194">
        <f t="shared" si="15"/>
        <v>3492.5</v>
      </c>
      <c r="AX18" s="194">
        <f t="shared" si="15"/>
        <v>3492.5</v>
      </c>
      <c r="AY18" s="194">
        <f t="shared" si="15"/>
        <v>3492.5</v>
      </c>
      <c r="AZ18" s="194">
        <f t="shared" si="15"/>
        <v>3492.5</v>
      </c>
      <c r="BA18" s="194">
        <f t="shared" si="15"/>
        <v>3492.5</v>
      </c>
      <c r="BB18" s="194">
        <f t="shared" si="15"/>
        <v>3492.5</v>
      </c>
      <c r="BC18" s="194">
        <f t="shared" si="15"/>
        <v>3492.5</v>
      </c>
      <c r="BD18" s="194">
        <f t="shared" si="15"/>
        <v>3492.5</v>
      </c>
      <c r="BE18" s="194">
        <f t="shared" si="15"/>
        <v>3492.5</v>
      </c>
      <c r="BF18" s="194">
        <f t="shared" si="15"/>
        <v>3492.5</v>
      </c>
      <c r="BG18" s="194">
        <f t="shared" si="15"/>
        <v>3492.5</v>
      </c>
      <c r="BH18" s="194">
        <f t="shared" si="15"/>
        <v>3492.5</v>
      </c>
      <c r="BI18" s="194">
        <f t="shared" si="15"/>
        <v>3492.5</v>
      </c>
      <c r="BJ18" s="195">
        <f t="shared" si="15"/>
        <v>3492.5</v>
      </c>
    </row>
    <row r="19" spans="2:62" x14ac:dyDescent="0.2">
      <c r="B19" s="64"/>
      <c r="C19" s="366"/>
      <c r="D19" s="366"/>
      <c r="E19" s="366"/>
      <c r="F19" s="3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1"/>
    </row>
    <row r="20" spans="2:62" x14ac:dyDescent="0.2">
      <c r="B20" s="196" t="s">
        <v>68</v>
      </c>
      <c r="C20" s="275"/>
      <c r="D20" s="275"/>
      <c r="E20" s="275"/>
      <c r="F20" s="275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412"/>
      <c r="AB20" s="412"/>
      <c r="AC20" s="412"/>
      <c r="AD20" s="412"/>
      <c r="AE20" s="412"/>
      <c r="AF20" s="412"/>
      <c r="AG20" s="412"/>
      <c r="AH20" s="412"/>
      <c r="AI20" s="412"/>
      <c r="AJ20" s="412"/>
      <c r="AK20" s="412"/>
      <c r="AL20" s="412"/>
      <c r="AM20" s="412"/>
      <c r="AN20" s="412"/>
      <c r="AO20" s="412"/>
      <c r="AP20" s="412"/>
      <c r="AQ20" s="412"/>
      <c r="AR20" s="412"/>
      <c r="AS20" s="412"/>
      <c r="AT20" s="412"/>
      <c r="AU20" s="412"/>
      <c r="AV20" s="412"/>
      <c r="AW20" s="412"/>
      <c r="AX20" s="412"/>
      <c r="AY20" s="412"/>
      <c r="AZ20" s="412"/>
      <c r="BA20" s="412"/>
      <c r="BB20" s="412"/>
      <c r="BC20" s="412"/>
      <c r="BD20" s="412"/>
      <c r="BE20" s="412"/>
      <c r="BF20" s="412"/>
      <c r="BG20" s="412"/>
      <c r="BH20" s="412"/>
      <c r="BI20" s="412"/>
      <c r="BJ20" s="413"/>
    </row>
    <row r="21" spans="2:62" x14ac:dyDescent="0.2">
      <c r="B21" s="197" t="s">
        <v>65</v>
      </c>
      <c r="C21" s="269">
        <v>0</v>
      </c>
      <c r="D21" s="269">
        <v>0</v>
      </c>
      <c r="E21" s="269">
        <v>0</v>
      </c>
      <c r="F21" s="269">
        <v>10723</v>
      </c>
      <c r="G21" s="198">
        <f t="shared" ref="G21:BJ21" si="16">MonthlyFacebookSpend</f>
        <v>20000</v>
      </c>
      <c r="H21" s="198">
        <f t="shared" si="16"/>
        <v>20000</v>
      </c>
      <c r="I21" s="198">
        <f t="shared" si="16"/>
        <v>20000</v>
      </c>
      <c r="J21" s="198">
        <f t="shared" si="16"/>
        <v>20000</v>
      </c>
      <c r="K21" s="198">
        <f t="shared" si="16"/>
        <v>20000</v>
      </c>
      <c r="L21" s="198">
        <f t="shared" si="16"/>
        <v>20000</v>
      </c>
      <c r="M21" s="198">
        <f t="shared" si="16"/>
        <v>20000</v>
      </c>
      <c r="N21" s="198">
        <f t="shared" si="16"/>
        <v>20000</v>
      </c>
      <c r="O21" s="198">
        <f t="shared" si="16"/>
        <v>20000</v>
      </c>
      <c r="P21" s="198">
        <f t="shared" si="16"/>
        <v>20000</v>
      </c>
      <c r="Q21" s="198">
        <f t="shared" si="16"/>
        <v>20000</v>
      </c>
      <c r="R21" s="198">
        <f t="shared" si="16"/>
        <v>20000</v>
      </c>
      <c r="S21" s="198">
        <f t="shared" si="16"/>
        <v>20000</v>
      </c>
      <c r="T21" s="198">
        <f t="shared" si="16"/>
        <v>20000</v>
      </c>
      <c r="U21" s="198">
        <f t="shared" si="16"/>
        <v>20000</v>
      </c>
      <c r="V21" s="198">
        <f t="shared" si="16"/>
        <v>20000</v>
      </c>
      <c r="W21" s="198">
        <f t="shared" si="16"/>
        <v>20000</v>
      </c>
      <c r="X21" s="198">
        <f t="shared" si="16"/>
        <v>20000</v>
      </c>
      <c r="Y21" s="198">
        <f t="shared" si="16"/>
        <v>20000</v>
      </c>
      <c r="Z21" s="198">
        <f t="shared" si="16"/>
        <v>20000</v>
      </c>
      <c r="AA21" s="198">
        <f t="shared" si="16"/>
        <v>20000</v>
      </c>
      <c r="AB21" s="198">
        <f t="shared" si="16"/>
        <v>20000</v>
      </c>
      <c r="AC21" s="198">
        <f t="shared" si="16"/>
        <v>20000</v>
      </c>
      <c r="AD21" s="198">
        <f t="shared" si="16"/>
        <v>20000</v>
      </c>
      <c r="AE21" s="198">
        <f t="shared" si="16"/>
        <v>20000</v>
      </c>
      <c r="AF21" s="198">
        <f t="shared" si="16"/>
        <v>20000</v>
      </c>
      <c r="AG21" s="198">
        <f t="shared" si="16"/>
        <v>20000</v>
      </c>
      <c r="AH21" s="198">
        <f t="shared" si="16"/>
        <v>20000</v>
      </c>
      <c r="AI21" s="198">
        <f t="shared" si="16"/>
        <v>20000</v>
      </c>
      <c r="AJ21" s="198">
        <f t="shared" si="16"/>
        <v>20000</v>
      </c>
      <c r="AK21" s="198">
        <f t="shared" si="16"/>
        <v>20000</v>
      </c>
      <c r="AL21" s="198">
        <f t="shared" si="16"/>
        <v>20000</v>
      </c>
      <c r="AM21" s="198">
        <f t="shared" si="16"/>
        <v>20000</v>
      </c>
      <c r="AN21" s="198">
        <f t="shared" si="16"/>
        <v>20000</v>
      </c>
      <c r="AO21" s="198">
        <f t="shared" si="16"/>
        <v>20000</v>
      </c>
      <c r="AP21" s="198">
        <f t="shared" si="16"/>
        <v>20000</v>
      </c>
      <c r="AQ21" s="198">
        <f t="shared" si="16"/>
        <v>20000</v>
      </c>
      <c r="AR21" s="198">
        <f t="shared" si="16"/>
        <v>20000</v>
      </c>
      <c r="AS21" s="198">
        <f t="shared" si="16"/>
        <v>20000</v>
      </c>
      <c r="AT21" s="198">
        <f t="shared" si="16"/>
        <v>20000</v>
      </c>
      <c r="AU21" s="198">
        <f t="shared" si="16"/>
        <v>20000</v>
      </c>
      <c r="AV21" s="198">
        <f t="shared" si="16"/>
        <v>20000</v>
      </c>
      <c r="AW21" s="198">
        <f t="shared" si="16"/>
        <v>20000</v>
      </c>
      <c r="AX21" s="198">
        <f t="shared" si="16"/>
        <v>20000</v>
      </c>
      <c r="AY21" s="198">
        <f t="shared" si="16"/>
        <v>20000</v>
      </c>
      <c r="AZ21" s="198">
        <f t="shared" si="16"/>
        <v>20000</v>
      </c>
      <c r="BA21" s="198">
        <f t="shared" si="16"/>
        <v>20000</v>
      </c>
      <c r="BB21" s="198">
        <f t="shared" si="16"/>
        <v>20000</v>
      </c>
      <c r="BC21" s="198">
        <f t="shared" si="16"/>
        <v>20000</v>
      </c>
      <c r="BD21" s="198">
        <f t="shared" si="16"/>
        <v>20000</v>
      </c>
      <c r="BE21" s="198">
        <f t="shared" si="16"/>
        <v>20000</v>
      </c>
      <c r="BF21" s="198">
        <f t="shared" si="16"/>
        <v>20000</v>
      </c>
      <c r="BG21" s="198">
        <f t="shared" si="16"/>
        <v>20000</v>
      </c>
      <c r="BH21" s="198">
        <f t="shared" si="16"/>
        <v>20000</v>
      </c>
      <c r="BI21" s="198">
        <f t="shared" si="16"/>
        <v>20000</v>
      </c>
      <c r="BJ21" s="414">
        <f t="shared" si="16"/>
        <v>20000</v>
      </c>
    </row>
    <row r="22" spans="2:62" x14ac:dyDescent="0.2">
      <c r="B22" s="197" t="s">
        <v>63</v>
      </c>
      <c r="C22" s="303"/>
      <c r="D22" s="303"/>
      <c r="E22" s="303"/>
      <c r="F22" s="303">
        <v>2.4700000000000002</v>
      </c>
      <c r="G22" s="415">
        <f t="shared" ref="G22:BJ22" si="17">FacebookCPC</f>
        <v>2.5</v>
      </c>
      <c r="H22" s="415">
        <f t="shared" si="17"/>
        <v>2.5</v>
      </c>
      <c r="I22" s="415">
        <f t="shared" si="17"/>
        <v>2.5</v>
      </c>
      <c r="J22" s="415">
        <f t="shared" si="17"/>
        <v>2.5</v>
      </c>
      <c r="K22" s="415">
        <f t="shared" si="17"/>
        <v>2.5</v>
      </c>
      <c r="L22" s="415">
        <f t="shared" si="17"/>
        <v>2.5</v>
      </c>
      <c r="M22" s="415">
        <f t="shared" si="17"/>
        <v>2.5</v>
      </c>
      <c r="N22" s="415">
        <f t="shared" si="17"/>
        <v>2.5</v>
      </c>
      <c r="O22" s="415">
        <f t="shared" si="17"/>
        <v>2.5</v>
      </c>
      <c r="P22" s="415">
        <f t="shared" si="17"/>
        <v>2.5</v>
      </c>
      <c r="Q22" s="415">
        <f t="shared" si="17"/>
        <v>2.5</v>
      </c>
      <c r="R22" s="415">
        <f t="shared" si="17"/>
        <v>2.5</v>
      </c>
      <c r="S22" s="415">
        <f t="shared" si="17"/>
        <v>2.5</v>
      </c>
      <c r="T22" s="415">
        <f t="shared" si="17"/>
        <v>2.5</v>
      </c>
      <c r="U22" s="415">
        <f t="shared" si="17"/>
        <v>2.5</v>
      </c>
      <c r="V22" s="415">
        <f t="shared" si="17"/>
        <v>2.5</v>
      </c>
      <c r="W22" s="415">
        <f t="shared" si="17"/>
        <v>2.5</v>
      </c>
      <c r="X22" s="415">
        <f t="shared" si="17"/>
        <v>2.5</v>
      </c>
      <c r="Y22" s="415">
        <f t="shared" si="17"/>
        <v>2.5</v>
      </c>
      <c r="Z22" s="415">
        <f t="shared" si="17"/>
        <v>2.5</v>
      </c>
      <c r="AA22" s="415">
        <f t="shared" si="17"/>
        <v>2.5</v>
      </c>
      <c r="AB22" s="415">
        <f t="shared" si="17"/>
        <v>2.5</v>
      </c>
      <c r="AC22" s="415">
        <f t="shared" si="17"/>
        <v>2.5</v>
      </c>
      <c r="AD22" s="415">
        <f t="shared" si="17"/>
        <v>2.5</v>
      </c>
      <c r="AE22" s="415">
        <f t="shared" si="17"/>
        <v>2.5</v>
      </c>
      <c r="AF22" s="415">
        <f t="shared" si="17"/>
        <v>2.5</v>
      </c>
      <c r="AG22" s="415">
        <f t="shared" si="17"/>
        <v>2.5</v>
      </c>
      <c r="AH22" s="415">
        <f t="shared" si="17"/>
        <v>2.5</v>
      </c>
      <c r="AI22" s="415">
        <f t="shared" si="17"/>
        <v>2.5</v>
      </c>
      <c r="AJ22" s="415">
        <f t="shared" si="17"/>
        <v>2.5</v>
      </c>
      <c r="AK22" s="415">
        <f t="shared" si="17"/>
        <v>2.5</v>
      </c>
      <c r="AL22" s="415">
        <f t="shared" si="17"/>
        <v>2.5</v>
      </c>
      <c r="AM22" s="415">
        <f t="shared" si="17"/>
        <v>2.5</v>
      </c>
      <c r="AN22" s="415">
        <f t="shared" si="17"/>
        <v>2.5</v>
      </c>
      <c r="AO22" s="415">
        <f t="shared" si="17"/>
        <v>2.5</v>
      </c>
      <c r="AP22" s="415">
        <f t="shared" si="17"/>
        <v>2.5</v>
      </c>
      <c r="AQ22" s="415">
        <f t="shared" si="17"/>
        <v>2.5</v>
      </c>
      <c r="AR22" s="415">
        <f t="shared" si="17"/>
        <v>2.5</v>
      </c>
      <c r="AS22" s="415">
        <f t="shared" si="17"/>
        <v>2.5</v>
      </c>
      <c r="AT22" s="415">
        <f t="shared" si="17"/>
        <v>2.5</v>
      </c>
      <c r="AU22" s="415">
        <f t="shared" si="17"/>
        <v>2.5</v>
      </c>
      <c r="AV22" s="415">
        <f t="shared" si="17"/>
        <v>2.5</v>
      </c>
      <c r="AW22" s="415">
        <f t="shared" si="17"/>
        <v>2.5</v>
      </c>
      <c r="AX22" s="415">
        <f t="shared" si="17"/>
        <v>2.5</v>
      </c>
      <c r="AY22" s="415">
        <f t="shared" si="17"/>
        <v>2.5</v>
      </c>
      <c r="AZ22" s="415">
        <f t="shared" si="17"/>
        <v>2.5</v>
      </c>
      <c r="BA22" s="415">
        <f t="shared" si="17"/>
        <v>2.5</v>
      </c>
      <c r="BB22" s="415">
        <f t="shared" si="17"/>
        <v>2.5</v>
      </c>
      <c r="BC22" s="415">
        <f t="shared" si="17"/>
        <v>2.5</v>
      </c>
      <c r="BD22" s="415">
        <f t="shared" si="17"/>
        <v>2.5</v>
      </c>
      <c r="BE22" s="415">
        <f t="shared" si="17"/>
        <v>2.5</v>
      </c>
      <c r="BF22" s="415">
        <f t="shared" si="17"/>
        <v>2.5</v>
      </c>
      <c r="BG22" s="415">
        <f t="shared" si="17"/>
        <v>2.5</v>
      </c>
      <c r="BH22" s="415">
        <f t="shared" si="17"/>
        <v>2.5</v>
      </c>
      <c r="BI22" s="415">
        <f t="shared" si="17"/>
        <v>2.5</v>
      </c>
      <c r="BJ22" s="416">
        <f t="shared" si="17"/>
        <v>2.5</v>
      </c>
    </row>
    <row r="23" spans="2:62" x14ac:dyDescent="0.2">
      <c r="B23" s="197" t="s">
        <v>66</v>
      </c>
      <c r="C23" s="292"/>
      <c r="D23" s="292"/>
      <c r="E23" s="292"/>
      <c r="F23" s="292">
        <f t="shared" ref="F23:G23" si="18">F21/F22</f>
        <v>4341.2955465587038</v>
      </c>
      <c r="G23" s="199">
        <f t="shared" si="18"/>
        <v>8000</v>
      </c>
      <c r="H23" s="199">
        <f t="shared" ref="H23:BJ23" si="19">H21/H22</f>
        <v>8000</v>
      </c>
      <c r="I23" s="199">
        <f t="shared" si="19"/>
        <v>8000</v>
      </c>
      <c r="J23" s="199">
        <f t="shared" si="19"/>
        <v>8000</v>
      </c>
      <c r="K23" s="199">
        <f t="shared" si="19"/>
        <v>8000</v>
      </c>
      <c r="L23" s="199">
        <f t="shared" si="19"/>
        <v>8000</v>
      </c>
      <c r="M23" s="199">
        <f t="shared" si="19"/>
        <v>8000</v>
      </c>
      <c r="N23" s="199">
        <f t="shared" si="19"/>
        <v>8000</v>
      </c>
      <c r="O23" s="199">
        <f t="shared" si="19"/>
        <v>8000</v>
      </c>
      <c r="P23" s="199">
        <f t="shared" si="19"/>
        <v>8000</v>
      </c>
      <c r="Q23" s="199">
        <f t="shared" si="19"/>
        <v>8000</v>
      </c>
      <c r="R23" s="199">
        <f t="shared" si="19"/>
        <v>8000</v>
      </c>
      <c r="S23" s="199">
        <f t="shared" si="19"/>
        <v>8000</v>
      </c>
      <c r="T23" s="199">
        <f t="shared" si="19"/>
        <v>8000</v>
      </c>
      <c r="U23" s="199">
        <f t="shared" si="19"/>
        <v>8000</v>
      </c>
      <c r="V23" s="199">
        <f t="shared" si="19"/>
        <v>8000</v>
      </c>
      <c r="W23" s="199">
        <f t="shared" si="19"/>
        <v>8000</v>
      </c>
      <c r="X23" s="199">
        <f t="shared" si="19"/>
        <v>8000</v>
      </c>
      <c r="Y23" s="199">
        <f t="shared" si="19"/>
        <v>8000</v>
      </c>
      <c r="Z23" s="199">
        <f t="shared" si="19"/>
        <v>8000</v>
      </c>
      <c r="AA23" s="199">
        <f t="shared" si="19"/>
        <v>8000</v>
      </c>
      <c r="AB23" s="199">
        <f t="shared" si="19"/>
        <v>8000</v>
      </c>
      <c r="AC23" s="199">
        <f t="shared" si="19"/>
        <v>8000</v>
      </c>
      <c r="AD23" s="199">
        <f t="shared" si="19"/>
        <v>8000</v>
      </c>
      <c r="AE23" s="199">
        <f t="shared" si="19"/>
        <v>8000</v>
      </c>
      <c r="AF23" s="199">
        <f t="shared" si="19"/>
        <v>8000</v>
      </c>
      <c r="AG23" s="199">
        <f t="shared" si="19"/>
        <v>8000</v>
      </c>
      <c r="AH23" s="199">
        <f t="shared" si="19"/>
        <v>8000</v>
      </c>
      <c r="AI23" s="199">
        <f t="shared" si="19"/>
        <v>8000</v>
      </c>
      <c r="AJ23" s="199">
        <f t="shared" si="19"/>
        <v>8000</v>
      </c>
      <c r="AK23" s="199">
        <f t="shared" si="19"/>
        <v>8000</v>
      </c>
      <c r="AL23" s="199">
        <f t="shared" si="19"/>
        <v>8000</v>
      </c>
      <c r="AM23" s="199">
        <f t="shared" si="19"/>
        <v>8000</v>
      </c>
      <c r="AN23" s="199">
        <f t="shared" si="19"/>
        <v>8000</v>
      </c>
      <c r="AO23" s="199">
        <f t="shared" si="19"/>
        <v>8000</v>
      </c>
      <c r="AP23" s="199">
        <f t="shared" si="19"/>
        <v>8000</v>
      </c>
      <c r="AQ23" s="199">
        <f t="shared" si="19"/>
        <v>8000</v>
      </c>
      <c r="AR23" s="199">
        <f t="shared" si="19"/>
        <v>8000</v>
      </c>
      <c r="AS23" s="199">
        <f t="shared" si="19"/>
        <v>8000</v>
      </c>
      <c r="AT23" s="199">
        <f t="shared" si="19"/>
        <v>8000</v>
      </c>
      <c r="AU23" s="199">
        <f t="shared" si="19"/>
        <v>8000</v>
      </c>
      <c r="AV23" s="199">
        <f t="shared" si="19"/>
        <v>8000</v>
      </c>
      <c r="AW23" s="199">
        <f t="shared" si="19"/>
        <v>8000</v>
      </c>
      <c r="AX23" s="199">
        <f t="shared" si="19"/>
        <v>8000</v>
      </c>
      <c r="AY23" s="199">
        <f t="shared" si="19"/>
        <v>8000</v>
      </c>
      <c r="AZ23" s="199">
        <f t="shared" si="19"/>
        <v>8000</v>
      </c>
      <c r="BA23" s="199">
        <f t="shared" si="19"/>
        <v>8000</v>
      </c>
      <c r="BB23" s="199">
        <f t="shared" si="19"/>
        <v>8000</v>
      </c>
      <c r="BC23" s="199">
        <f t="shared" si="19"/>
        <v>8000</v>
      </c>
      <c r="BD23" s="199">
        <f t="shared" si="19"/>
        <v>8000</v>
      </c>
      <c r="BE23" s="199">
        <f t="shared" si="19"/>
        <v>8000</v>
      </c>
      <c r="BF23" s="199">
        <f t="shared" si="19"/>
        <v>8000</v>
      </c>
      <c r="BG23" s="199">
        <f t="shared" si="19"/>
        <v>8000</v>
      </c>
      <c r="BH23" s="199">
        <f t="shared" si="19"/>
        <v>8000</v>
      </c>
      <c r="BI23" s="199">
        <f t="shared" si="19"/>
        <v>8000</v>
      </c>
      <c r="BJ23" s="417">
        <f t="shared" si="19"/>
        <v>8000</v>
      </c>
    </row>
    <row r="24" spans="2:62" ht="17" thickBot="1" x14ac:dyDescent="0.25">
      <c r="B24" s="197" t="s">
        <v>67</v>
      </c>
      <c r="C24" s="294"/>
      <c r="D24" s="294"/>
      <c r="E24" s="294"/>
      <c r="F24" s="294">
        <v>1.2800000000000001E-2</v>
      </c>
      <c r="G24" s="200">
        <f t="shared" ref="G24:BJ24" si="20">FacebookToSubConversion</f>
        <v>1.2999999999999999E-2</v>
      </c>
      <c r="H24" s="200">
        <f t="shared" si="20"/>
        <v>1.2999999999999999E-2</v>
      </c>
      <c r="I24" s="200">
        <f t="shared" si="20"/>
        <v>1.2999999999999999E-2</v>
      </c>
      <c r="J24" s="200">
        <f t="shared" si="20"/>
        <v>1.2999999999999999E-2</v>
      </c>
      <c r="K24" s="200">
        <f t="shared" si="20"/>
        <v>1.2999999999999999E-2</v>
      </c>
      <c r="L24" s="200">
        <f t="shared" si="20"/>
        <v>1.2999999999999999E-2</v>
      </c>
      <c r="M24" s="200">
        <f t="shared" si="20"/>
        <v>1.2999999999999999E-2</v>
      </c>
      <c r="N24" s="200">
        <f t="shared" si="20"/>
        <v>1.2999999999999999E-2</v>
      </c>
      <c r="O24" s="200">
        <f t="shared" si="20"/>
        <v>1.2999999999999999E-2</v>
      </c>
      <c r="P24" s="200">
        <f t="shared" si="20"/>
        <v>1.2999999999999999E-2</v>
      </c>
      <c r="Q24" s="200">
        <f t="shared" si="20"/>
        <v>1.2999999999999999E-2</v>
      </c>
      <c r="R24" s="200">
        <f t="shared" si="20"/>
        <v>1.2999999999999999E-2</v>
      </c>
      <c r="S24" s="200">
        <f t="shared" si="20"/>
        <v>1.2999999999999999E-2</v>
      </c>
      <c r="T24" s="200">
        <f t="shared" si="20"/>
        <v>1.2999999999999999E-2</v>
      </c>
      <c r="U24" s="200">
        <f t="shared" si="20"/>
        <v>1.2999999999999999E-2</v>
      </c>
      <c r="V24" s="200">
        <f t="shared" si="20"/>
        <v>1.2999999999999999E-2</v>
      </c>
      <c r="W24" s="200">
        <f t="shared" si="20"/>
        <v>1.2999999999999999E-2</v>
      </c>
      <c r="X24" s="200">
        <f t="shared" si="20"/>
        <v>1.2999999999999999E-2</v>
      </c>
      <c r="Y24" s="200">
        <f t="shared" si="20"/>
        <v>1.2999999999999999E-2</v>
      </c>
      <c r="Z24" s="200">
        <f t="shared" si="20"/>
        <v>1.2999999999999999E-2</v>
      </c>
      <c r="AA24" s="200">
        <f t="shared" si="20"/>
        <v>1.2999999999999999E-2</v>
      </c>
      <c r="AB24" s="200">
        <f t="shared" si="20"/>
        <v>1.2999999999999999E-2</v>
      </c>
      <c r="AC24" s="200">
        <f t="shared" si="20"/>
        <v>1.2999999999999999E-2</v>
      </c>
      <c r="AD24" s="200">
        <f t="shared" si="20"/>
        <v>1.2999999999999999E-2</v>
      </c>
      <c r="AE24" s="200">
        <f t="shared" si="20"/>
        <v>1.2999999999999999E-2</v>
      </c>
      <c r="AF24" s="200">
        <f t="shared" si="20"/>
        <v>1.2999999999999999E-2</v>
      </c>
      <c r="AG24" s="200">
        <f t="shared" si="20"/>
        <v>1.2999999999999999E-2</v>
      </c>
      <c r="AH24" s="200">
        <f t="shared" si="20"/>
        <v>1.2999999999999999E-2</v>
      </c>
      <c r="AI24" s="200">
        <f t="shared" si="20"/>
        <v>1.2999999999999999E-2</v>
      </c>
      <c r="AJ24" s="200">
        <f t="shared" si="20"/>
        <v>1.2999999999999999E-2</v>
      </c>
      <c r="AK24" s="200">
        <f t="shared" si="20"/>
        <v>1.2999999999999999E-2</v>
      </c>
      <c r="AL24" s="200">
        <f t="shared" si="20"/>
        <v>1.2999999999999999E-2</v>
      </c>
      <c r="AM24" s="200">
        <f t="shared" si="20"/>
        <v>1.2999999999999999E-2</v>
      </c>
      <c r="AN24" s="200">
        <f t="shared" si="20"/>
        <v>1.2999999999999999E-2</v>
      </c>
      <c r="AO24" s="200">
        <f t="shared" si="20"/>
        <v>1.2999999999999999E-2</v>
      </c>
      <c r="AP24" s="200">
        <f t="shared" si="20"/>
        <v>1.2999999999999999E-2</v>
      </c>
      <c r="AQ24" s="200">
        <f t="shared" si="20"/>
        <v>1.2999999999999999E-2</v>
      </c>
      <c r="AR24" s="200">
        <f t="shared" si="20"/>
        <v>1.2999999999999999E-2</v>
      </c>
      <c r="AS24" s="200">
        <f t="shared" si="20"/>
        <v>1.2999999999999999E-2</v>
      </c>
      <c r="AT24" s="200">
        <f t="shared" si="20"/>
        <v>1.2999999999999999E-2</v>
      </c>
      <c r="AU24" s="200">
        <f t="shared" si="20"/>
        <v>1.2999999999999999E-2</v>
      </c>
      <c r="AV24" s="200">
        <f t="shared" si="20"/>
        <v>1.2999999999999999E-2</v>
      </c>
      <c r="AW24" s="200">
        <f t="shared" si="20"/>
        <v>1.2999999999999999E-2</v>
      </c>
      <c r="AX24" s="200">
        <f t="shared" si="20"/>
        <v>1.2999999999999999E-2</v>
      </c>
      <c r="AY24" s="200">
        <f t="shared" si="20"/>
        <v>1.2999999999999999E-2</v>
      </c>
      <c r="AZ24" s="200">
        <f t="shared" si="20"/>
        <v>1.2999999999999999E-2</v>
      </c>
      <c r="BA24" s="200">
        <f t="shared" si="20"/>
        <v>1.2999999999999999E-2</v>
      </c>
      <c r="BB24" s="200">
        <f t="shared" si="20"/>
        <v>1.2999999999999999E-2</v>
      </c>
      <c r="BC24" s="200">
        <f t="shared" si="20"/>
        <v>1.2999999999999999E-2</v>
      </c>
      <c r="BD24" s="200">
        <f t="shared" si="20"/>
        <v>1.2999999999999999E-2</v>
      </c>
      <c r="BE24" s="200">
        <f t="shared" si="20"/>
        <v>1.2999999999999999E-2</v>
      </c>
      <c r="BF24" s="200">
        <f t="shared" si="20"/>
        <v>1.2999999999999999E-2</v>
      </c>
      <c r="BG24" s="200">
        <f t="shared" si="20"/>
        <v>1.2999999999999999E-2</v>
      </c>
      <c r="BH24" s="200">
        <f t="shared" si="20"/>
        <v>1.2999999999999999E-2</v>
      </c>
      <c r="BI24" s="200">
        <f t="shared" si="20"/>
        <v>1.2999999999999999E-2</v>
      </c>
      <c r="BJ24" s="418">
        <f t="shared" si="20"/>
        <v>1.2999999999999999E-2</v>
      </c>
    </row>
    <row r="25" spans="2:62" ht="17" thickBot="1" x14ac:dyDescent="0.25">
      <c r="B25" s="201" t="s">
        <v>58</v>
      </c>
      <c r="C25" s="304">
        <f t="shared" ref="C25:AH25" si="21">ROUND(C23*C24,0)</f>
        <v>0</v>
      </c>
      <c r="D25" s="304">
        <f t="shared" si="21"/>
        <v>0</v>
      </c>
      <c r="E25" s="304">
        <f t="shared" si="21"/>
        <v>0</v>
      </c>
      <c r="F25" s="304">
        <f t="shared" si="21"/>
        <v>56</v>
      </c>
      <c r="G25" s="202">
        <f t="shared" si="21"/>
        <v>104</v>
      </c>
      <c r="H25" s="202">
        <f t="shared" si="21"/>
        <v>104</v>
      </c>
      <c r="I25" s="202">
        <f t="shared" si="21"/>
        <v>104</v>
      </c>
      <c r="J25" s="202">
        <f t="shared" si="21"/>
        <v>104</v>
      </c>
      <c r="K25" s="202">
        <f t="shared" si="21"/>
        <v>104</v>
      </c>
      <c r="L25" s="202">
        <f t="shared" si="21"/>
        <v>104</v>
      </c>
      <c r="M25" s="202">
        <f t="shared" si="21"/>
        <v>104</v>
      </c>
      <c r="N25" s="202">
        <f t="shared" si="21"/>
        <v>104</v>
      </c>
      <c r="O25" s="202">
        <f t="shared" si="21"/>
        <v>104</v>
      </c>
      <c r="P25" s="202">
        <f t="shared" si="21"/>
        <v>104</v>
      </c>
      <c r="Q25" s="202">
        <f t="shared" si="21"/>
        <v>104</v>
      </c>
      <c r="R25" s="202">
        <f t="shared" si="21"/>
        <v>104</v>
      </c>
      <c r="S25" s="202">
        <f t="shared" si="21"/>
        <v>104</v>
      </c>
      <c r="T25" s="202">
        <f t="shared" si="21"/>
        <v>104</v>
      </c>
      <c r="U25" s="202">
        <f t="shared" si="21"/>
        <v>104</v>
      </c>
      <c r="V25" s="202">
        <f t="shared" si="21"/>
        <v>104</v>
      </c>
      <c r="W25" s="202">
        <f t="shared" si="21"/>
        <v>104</v>
      </c>
      <c r="X25" s="202">
        <f t="shared" si="21"/>
        <v>104</v>
      </c>
      <c r="Y25" s="202">
        <f t="shared" si="21"/>
        <v>104</v>
      </c>
      <c r="Z25" s="202">
        <f t="shared" si="21"/>
        <v>104</v>
      </c>
      <c r="AA25" s="202">
        <f t="shared" si="21"/>
        <v>104</v>
      </c>
      <c r="AB25" s="202">
        <f t="shared" si="21"/>
        <v>104</v>
      </c>
      <c r="AC25" s="202">
        <f t="shared" si="21"/>
        <v>104</v>
      </c>
      <c r="AD25" s="202">
        <f t="shared" si="21"/>
        <v>104</v>
      </c>
      <c r="AE25" s="202">
        <f t="shared" si="21"/>
        <v>104</v>
      </c>
      <c r="AF25" s="202">
        <f t="shared" si="21"/>
        <v>104</v>
      </c>
      <c r="AG25" s="202">
        <f t="shared" si="21"/>
        <v>104</v>
      </c>
      <c r="AH25" s="202">
        <f t="shared" si="21"/>
        <v>104</v>
      </c>
      <c r="AI25" s="202">
        <f t="shared" ref="AI25:BJ25" si="22">ROUND(AI23*AI24,0)</f>
        <v>104</v>
      </c>
      <c r="AJ25" s="202">
        <f t="shared" si="22"/>
        <v>104</v>
      </c>
      <c r="AK25" s="202">
        <f t="shared" si="22"/>
        <v>104</v>
      </c>
      <c r="AL25" s="202">
        <f t="shared" si="22"/>
        <v>104</v>
      </c>
      <c r="AM25" s="202">
        <f t="shared" si="22"/>
        <v>104</v>
      </c>
      <c r="AN25" s="202">
        <f t="shared" si="22"/>
        <v>104</v>
      </c>
      <c r="AO25" s="202">
        <f t="shared" si="22"/>
        <v>104</v>
      </c>
      <c r="AP25" s="202">
        <f t="shared" si="22"/>
        <v>104</v>
      </c>
      <c r="AQ25" s="202">
        <f t="shared" si="22"/>
        <v>104</v>
      </c>
      <c r="AR25" s="202">
        <f t="shared" si="22"/>
        <v>104</v>
      </c>
      <c r="AS25" s="202">
        <f t="shared" si="22"/>
        <v>104</v>
      </c>
      <c r="AT25" s="202">
        <f t="shared" si="22"/>
        <v>104</v>
      </c>
      <c r="AU25" s="202">
        <f t="shared" si="22"/>
        <v>104</v>
      </c>
      <c r="AV25" s="202">
        <f t="shared" si="22"/>
        <v>104</v>
      </c>
      <c r="AW25" s="202">
        <f t="shared" si="22"/>
        <v>104</v>
      </c>
      <c r="AX25" s="202">
        <f t="shared" si="22"/>
        <v>104</v>
      </c>
      <c r="AY25" s="202">
        <f t="shared" si="22"/>
        <v>104</v>
      </c>
      <c r="AZ25" s="202">
        <f t="shared" si="22"/>
        <v>104</v>
      </c>
      <c r="BA25" s="202">
        <f t="shared" si="22"/>
        <v>104</v>
      </c>
      <c r="BB25" s="202">
        <f t="shared" si="22"/>
        <v>104</v>
      </c>
      <c r="BC25" s="202">
        <f t="shared" si="22"/>
        <v>104</v>
      </c>
      <c r="BD25" s="202">
        <f t="shared" si="22"/>
        <v>104</v>
      </c>
      <c r="BE25" s="202">
        <f t="shared" si="22"/>
        <v>104</v>
      </c>
      <c r="BF25" s="202">
        <f t="shared" si="22"/>
        <v>104</v>
      </c>
      <c r="BG25" s="202">
        <f t="shared" si="22"/>
        <v>104</v>
      </c>
      <c r="BH25" s="202">
        <f t="shared" si="22"/>
        <v>104</v>
      </c>
      <c r="BI25" s="202">
        <f t="shared" si="22"/>
        <v>104</v>
      </c>
      <c r="BJ25" s="419">
        <f t="shared" si="22"/>
        <v>104</v>
      </c>
    </row>
    <row r="26" spans="2:62" s="17" customFormat="1" x14ac:dyDescent="0.2">
      <c r="B26" s="425" t="s">
        <v>208</v>
      </c>
      <c r="C26" s="269"/>
      <c r="D26" s="269"/>
      <c r="E26" s="269"/>
      <c r="F26" s="269">
        <f>F25/F$60*'Income Statement - Monthly'!G$26</f>
        <v>1826.0869565217392</v>
      </c>
      <c r="G26" s="198">
        <f>G25/G$60*'Income Statement - Monthly'!H$26</f>
        <v>1710.5263157894735</v>
      </c>
      <c r="H26" s="198">
        <f>H25/H$60*'Income Statement - Monthly'!I$26</f>
        <v>1710.5263157894735</v>
      </c>
      <c r="I26" s="198">
        <f>I25/I$60*'Income Statement - Monthly'!J$26</f>
        <v>1703.0567685589519</v>
      </c>
      <c r="J26" s="198">
        <f>J25/J$60*'Income Statement - Monthly'!K$26</f>
        <v>1703.0567685589519</v>
      </c>
      <c r="K26" s="198">
        <f>K25/K$60*'Income Statement - Monthly'!L$26</f>
        <v>1703.0567685589519</v>
      </c>
      <c r="L26" s="198">
        <f>L25/L$60*'Income Statement - Monthly'!M$26</f>
        <v>1703.0567685589519</v>
      </c>
      <c r="M26" s="198">
        <f>M25/M$60*'Income Statement - Monthly'!N$26</f>
        <v>1703.0567685589519</v>
      </c>
      <c r="N26" s="198">
        <f>N25/N$60*'Income Statement - Monthly'!O$26</f>
        <v>1703.0567685589519</v>
      </c>
      <c r="O26" s="198">
        <f>O25/O$60*'Income Statement - Monthly'!P$26</f>
        <v>1703.0567685589519</v>
      </c>
      <c r="P26" s="198">
        <f>P25/P$60*'Income Statement - Monthly'!Q$26</f>
        <v>1695.6521739130435</v>
      </c>
      <c r="Q26" s="198">
        <f>Q25/Q$60*'Income Statement - Monthly'!R$26</f>
        <v>1695.6521739130435</v>
      </c>
      <c r="R26" s="198">
        <f>R25/R$60*'Income Statement - Monthly'!S$26</f>
        <v>1695.6521739130435</v>
      </c>
      <c r="S26" s="198">
        <f>S25/S$60*'Income Statement - Monthly'!T$26</f>
        <v>1695.6521739130435</v>
      </c>
      <c r="T26" s="198">
        <f>T25/T$60*'Income Statement - Monthly'!U$26</f>
        <v>1688.3116883116884</v>
      </c>
      <c r="U26" s="198">
        <f>U25/U$60*'Income Statement - Monthly'!V$26</f>
        <v>1688.3116883116884</v>
      </c>
      <c r="V26" s="198">
        <f>V25/V$60*'Income Statement - Monthly'!W$26</f>
        <v>1688.3116883116884</v>
      </c>
      <c r="W26" s="198">
        <f>W25/W$60*'Income Statement - Monthly'!X$26</f>
        <v>1681.0344827586207</v>
      </c>
      <c r="X26" s="198">
        <f>X25/X$60*'Income Statement - Monthly'!Y$26</f>
        <v>1681.0344827586207</v>
      </c>
      <c r="Y26" s="198">
        <f>Y25/Y$60*'Income Statement - Monthly'!Z$26</f>
        <v>1681.0344827586207</v>
      </c>
      <c r="Z26" s="198">
        <f>Z25/Z$60*'Income Statement - Monthly'!AA$26</f>
        <v>1673.8197424892705</v>
      </c>
      <c r="AA26" s="198">
        <f>AA25/AA$60*'Income Statement - Monthly'!AB$26</f>
        <v>1673.8197424892705</v>
      </c>
      <c r="AB26" s="198">
        <f>AB25/AB$60*'Income Statement - Monthly'!AC$26</f>
        <v>1666.6666666666665</v>
      </c>
      <c r="AC26" s="198">
        <f>AC25/AC$60*'Income Statement - Monthly'!AD$26</f>
        <v>1666.6666666666665</v>
      </c>
      <c r="AD26" s="198">
        <f>AD25/AD$60*'Income Statement - Monthly'!AE$26</f>
        <v>1659.5744680851062</v>
      </c>
      <c r="AE26" s="198">
        <f>AE25/AE$60*'Income Statement - Monthly'!AF$26</f>
        <v>1659.5744680851062</v>
      </c>
      <c r="AF26" s="198">
        <f>AF25/AF$60*'Income Statement - Monthly'!AG$26</f>
        <v>1652.542372881356</v>
      </c>
      <c r="AG26" s="198">
        <f>AG25/AG$60*'Income Statement - Monthly'!AH$26</f>
        <v>1645.5696202531647</v>
      </c>
      <c r="AH26" s="198">
        <f>AH25/AH$60*'Income Statement - Monthly'!AI$26</f>
        <v>1638.6554621848741</v>
      </c>
      <c r="AI26" s="198">
        <f>AI25/AI$60*'Income Statement - Monthly'!AJ$26</f>
        <v>1638.6554621848741</v>
      </c>
      <c r="AJ26" s="198">
        <f>AJ25/AJ$60*'Income Statement - Monthly'!AK$26</f>
        <v>1631.7991631799164</v>
      </c>
      <c r="AK26" s="198">
        <f>AK25/AK$60*'Income Statement - Monthly'!AL$26</f>
        <v>1625</v>
      </c>
      <c r="AL26" s="198">
        <f>AL25/AL$60*'Income Statement - Monthly'!AM$26</f>
        <v>1618.2572614107885</v>
      </c>
      <c r="AM26" s="198">
        <f>AM25/AM$60*'Income Statement - Monthly'!AN$26</f>
        <v>1604.9382716049383</v>
      </c>
      <c r="AN26" s="198">
        <f>AN25/AN$60*'Income Statement - Monthly'!AO$26</f>
        <v>1598.3606557377047</v>
      </c>
      <c r="AO26" s="198">
        <f>AO25/AO$60*'Income Statement - Monthly'!AP$26</f>
        <v>1591.8367346938776</v>
      </c>
      <c r="AP26" s="198">
        <f>AP25/AP$60*'Income Statement - Monthly'!AQ$26</f>
        <v>1578.9473684210525</v>
      </c>
      <c r="AQ26" s="198">
        <f>AQ25/AQ$60*'Income Statement - Monthly'!AR$26</f>
        <v>1572.5806451612905</v>
      </c>
      <c r="AR26" s="198">
        <f>AR25/AR$60*'Income Statement - Monthly'!AS$26</f>
        <v>1560</v>
      </c>
      <c r="AS26" s="198">
        <f>AS25/AS$60*'Income Statement - Monthly'!AT$26</f>
        <v>1547.6190476190475</v>
      </c>
      <c r="AT26" s="198">
        <f>AT25/AT$60*'Income Statement - Monthly'!AU$26</f>
        <v>1535.4330708661416</v>
      </c>
      <c r="AU26" s="198">
        <f>AU25/AU$60*'Income Statement - Monthly'!AV$26</f>
        <v>1523.4375</v>
      </c>
      <c r="AV26" s="198">
        <f>AV25/AV$60*'Income Statement - Monthly'!AW$26</f>
        <v>1511.6279069767443</v>
      </c>
      <c r="AW26" s="198">
        <f>AW25/AW$60*'Income Statement - Monthly'!AX$26</f>
        <v>1494.2528735632184</v>
      </c>
      <c r="AX26" s="198">
        <f>AX25/AX$60*'Income Statement - Monthly'!AY$26</f>
        <v>1482.8897338403042</v>
      </c>
      <c r="AY26" s="198">
        <f>AY25/AY$60*'Income Statement - Monthly'!AZ$26</f>
        <v>1466.1654135338345</v>
      </c>
      <c r="AZ26" s="198">
        <f>AZ25/AZ$60*'Income Statement - Monthly'!BA$26</f>
        <v>1444.4444444444443</v>
      </c>
      <c r="BA26" s="198">
        <f>BA25/BA$60*'Income Statement - Monthly'!BB$26</f>
        <v>1428.5714285714284</v>
      </c>
      <c r="BB26" s="198">
        <f>BB25/BB$60*'Income Statement - Monthly'!BC$26</f>
        <v>1407.942238267148</v>
      </c>
      <c r="BC26" s="198">
        <f>BC25/BC$60*'Income Statement - Monthly'!BD$26</f>
        <v>1387.9003558718859</v>
      </c>
      <c r="BD26" s="198">
        <f>BD25/BD$60*'Income Statement - Monthly'!BE$26</f>
        <v>1368.421052631579</v>
      </c>
      <c r="BE26" s="198">
        <f>BE25/BE$60*'Income Statement - Monthly'!BF$26</f>
        <v>1349.4809688581315</v>
      </c>
      <c r="BF26" s="198">
        <f>BF25/BF$60*'Income Statement - Monthly'!BG$26</f>
        <v>1326.5306122448981</v>
      </c>
      <c r="BG26" s="198">
        <f>BG25/BG$60*'Income Statement - Monthly'!BH$26</f>
        <v>1300</v>
      </c>
      <c r="BH26" s="198">
        <f>BH25/BH$60*'Income Statement - Monthly'!BI$26</f>
        <v>1274.5098039215686</v>
      </c>
      <c r="BI26" s="198">
        <f>BI25/BI$60*'Income Statement - Monthly'!BJ$26</f>
        <v>1250</v>
      </c>
      <c r="BJ26" s="414">
        <f>BJ25/BJ$60*'Income Statement - Monthly'!BK$26</f>
        <v>1222.5705329153604</v>
      </c>
    </row>
    <row r="27" spans="2:62" s="17" customFormat="1" x14ac:dyDescent="0.2">
      <c r="B27" s="425" t="s">
        <v>213</v>
      </c>
      <c r="C27" s="269"/>
      <c r="D27" s="269"/>
      <c r="E27" s="269"/>
      <c r="F27" s="269">
        <f>F21+F26</f>
        <v>12549.08695652174</v>
      </c>
      <c r="G27" s="198">
        <f t="shared" ref="G27:BJ27" si="23">G21+G26</f>
        <v>21710.526315789473</v>
      </c>
      <c r="H27" s="198">
        <f t="shared" si="23"/>
        <v>21710.526315789473</v>
      </c>
      <c r="I27" s="198">
        <f t="shared" si="23"/>
        <v>21703.056768558952</v>
      </c>
      <c r="J27" s="198">
        <f t="shared" si="23"/>
        <v>21703.056768558952</v>
      </c>
      <c r="K27" s="198">
        <f t="shared" si="23"/>
        <v>21703.056768558952</v>
      </c>
      <c r="L27" s="198">
        <f t="shared" si="23"/>
        <v>21703.056768558952</v>
      </c>
      <c r="M27" s="198">
        <f t="shared" si="23"/>
        <v>21703.056768558952</v>
      </c>
      <c r="N27" s="198">
        <f t="shared" si="23"/>
        <v>21703.056768558952</v>
      </c>
      <c r="O27" s="198">
        <f t="shared" si="23"/>
        <v>21703.056768558952</v>
      </c>
      <c r="P27" s="198">
        <f t="shared" si="23"/>
        <v>21695.652173913044</v>
      </c>
      <c r="Q27" s="198">
        <f t="shared" si="23"/>
        <v>21695.652173913044</v>
      </c>
      <c r="R27" s="198">
        <f t="shared" si="23"/>
        <v>21695.652173913044</v>
      </c>
      <c r="S27" s="198">
        <f t="shared" si="23"/>
        <v>21695.652173913044</v>
      </c>
      <c r="T27" s="198">
        <f t="shared" si="23"/>
        <v>21688.311688311689</v>
      </c>
      <c r="U27" s="198">
        <f t="shared" si="23"/>
        <v>21688.311688311689</v>
      </c>
      <c r="V27" s="198">
        <f t="shared" si="23"/>
        <v>21688.311688311689</v>
      </c>
      <c r="W27" s="198">
        <f t="shared" si="23"/>
        <v>21681.03448275862</v>
      </c>
      <c r="X27" s="198">
        <f t="shared" si="23"/>
        <v>21681.03448275862</v>
      </c>
      <c r="Y27" s="198">
        <f t="shared" si="23"/>
        <v>21681.03448275862</v>
      </c>
      <c r="Z27" s="198">
        <f t="shared" si="23"/>
        <v>21673.819742489271</v>
      </c>
      <c r="AA27" s="198">
        <f t="shared" si="23"/>
        <v>21673.819742489271</v>
      </c>
      <c r="AB27" s="198">
        <f t="shared" si="23"/>
        <v>21666.666666666668</v>
      </c>
      <c r="AC27" s="198">
        <f t="shared" si="23"/>
        <v>21666.666666666668</v>
      </c>
      <c r="AD27" s="198">
        <f t="shared" si="23"/>
        <v>21659.574468085106</v>
      </c>
      <c r="AE27" s="198">
        <f t="shared" si="23"/>
        <v>21659.574468085106</v>
      </c>
      <c r="AF27" s="198">
        <f t="shared" si="23"/>
        <v>21652.542372881355</v>
      </c>
      <c r="AG27" s="198">
        <f t="shared" si="23"/>
        <v>21645.569620253165</v>
      </c>
      <c r="AH27" s="198">
        <f t="shared" si="23"/>
        <v>21638.655462184874</v>
      </c>
      <c r="AI27" s="198">
        <f t="shared" si="23"/>
        <v>21638.655462184874</v>
      </c>
      <c r="AJ27" s="198">
        <f t="shared" si="23"/>
        <v>21631.799163179916</v>
      </c>
      <c r="AK27" s="198">
        <f t="shared" si="23"/>
        <v>21625</v>
      </c>
      <c r="AL27" s="198">
        <f t="shared" si="23"/>
        <v>21618.257261410788</v>
      </c>
      <c r="AM27" s="198">
        <f t="shared" si="23"/>
        <v>21604.938271604937</v>
      </c>
      <c r="AN27" s="198">
        <f t="shared" si="23"/>
        <v>21598.360655737706</v>
      </c>
      <c r="AO27" s="198">
        <f t="shared" si="23"/>
        <v>21591.836734693876</v>
      </c>
      <c r="AP27" s="198">
        <f t="shared" si="23"/>
        <v>21578.947368421053</v>
      </c>
      <c r="AQ27" s="198">
        <f t="shared" si="23"/>
        <v>21572.580645161292</v>
      </c>
      <c r="AR27" s="198">
        <f t="shared" si="23"/>
        <v>21560</v>
      </c>
      <c r="AS27" s="198">
        <f t="shared" si="23"/>
        <v>21547.619047619046</v>
      </c>
      <c r="AT27" s="198">
        <f t="shared" si="23"/>
        <v>21535.43307086614</v>
      </c>
      <c r="AU27" s="198">
        <f t="shared" si="23"/>
        <v>21523.4375</v>
      </c>
      <c r="AV27" s="198">
        <f t="shared" si="23"/>
        <v>21511.627906976744</v>
      </c>
      <c r="AW27" s="198">
        <f t="shared" si="23"/>
        <v>21494.252873563219</v>
      </c>
      <c r="AX27" s="198">
        <f t="shared" si="23"/>
        <v>21482.889733840304</v>
      </c>
      <c r="AY27" s="198">
        <f t="shared" si="23"/>
        <v>21466.165413533836</v>
      </c>
      <c r="AZ27" s="198">
        <f t="shared" si="23"/>
        <v>21444.444444444445</v>
      </c>
      <c r="BA27" s="198">
        <f t="shared" si="23"/>
        <v>21428.571428571428</v>
      </c>
      <c r="BB27" s="198">
        <f t="shared" si="23"/>
        <v>21407.942238267147</v>
      </c>
      <c r="BC27" s="198">
        <f t="shared" si="23"/>
        <v>21387.900355871887</v>
      </c>
      <c r="BD27" s="198">
        <f t="shared" si="23"/>
        <v>21368.42105263158</v>
      </c>
      <c r="BE27" s="198">
        <f t="shared" si="23"/>
        <v>21349.48096885813</v>
      </c>
      <c r="BF27" s="198">
        <f t="shared" si="23"/>
        <v>21326.530612244896</v>
      </c>
      <c r="BG27" s="198">
        <f t="shared" si="23"/>
        <v>21300</v>
      </c>
      <c r="BH27" s="198">
        <f t="shared" si="23"/>
        <v>21274.50980392157</v>
      </c>
      <c r="BI27" s="198">
        <f t="shared" si="23"/>
        <v>21250</v>
      </c>
      <c r="BJ27" s="414">
        <f t="shared" si="23"/>
        <v>21222.570532915361</v>
      </c>
    </row>
    <row r="28" spans="2:62" s="314" customFormat="1" x14ac:dyDescent="0.2">
      <c r="B28" s="315" t="s">
        <v>86</v>
      </c>
      <c r="C28" s="312"/>
      <c r="D28" s="312"/>
      <c r="E28" s="312"/>
      <c r="F28" s="312">
        <f>F27/F25</f>
        <v>224.0908385093168</v>
      </c>
      <c r="G28" s="316">
        <f t="shared" ref="G28:BJ28" si="24">G27/G25</f>
        <v>208.75506072874492</v>
      </c>
      <c r="H28" s="316">
        <f t="shared" si="24"/>
        <v>208.75506072874492</v>
      </c>
      <c r="I28" s="316">
        <f t="shared" si="24"/>
        <v>208.68323815922071</v>
      </c>
      <c r="J28" s="316">
        <f t="shared" si="24"/>
        <v>208.68323815922071</v>
      </c>
      <c r="K28" s="316">
        <f t="shared" si="24"/>
        <v>208.68323815922071</v>
      </c>
      <c r="L28" s="316">
        <f t="shared" si="24"/>
        <v>208.68323815922071</v>
      </c>
      <c r="M28" s="316">
        <f t="shared" si="24"/>
        <v>208.68323815922071</v>
      </c>
      <c r="N28" s="316">
        <f t="shared" si="24"/>
        <v>208.68323815922071</v>
      </c>
      <c r="O28" s="316">
        <f t="shared" si="24"/>
        <v>208.68323815922071</v>
      </c>
      <c r="P28" s="316">
        <f t="shared" si="24"/>
        <v>208.61204013377926</v>
      </c>
      <c r="Q28" s="316">
        <f t="shared" si="24"/>
        <v>208.61204013377926</v>
      </c>
      <c r="R28" s="316">
        <f t="shared" si="24"/>
        <v>208.61204013377926</v>
      </c>
      <c r="S28" s="316">
        <f t="shared" si="24"/>
        <v>208.61204013377926</v>
      </c>
      <c r="T28" s="316">
        <f t="shared" si="24"/>
        <v>208.54145854145855</v>
      </c>
      <c r="U28" s="316">
        <f t="shared" si="24"/>
        <v>208.54145854145855</v>
      </c>
      <c r="V28" s="316">
        <f t="shared" si="24"/>
        <v>208.54145854145855</v>
      </c>
      <c r="W28" s="316">
        <f t="shared" si="24"/>
        <v>208.47148541114058</v>
      </c>
      <c r="X28" s="316">
        <f t="shared" si="24"/>
        <v>208.47148541114058</v>
      </c>
      <c r="Y28" s="316">
        <f t="shared" si="24"/>
        <v>208.47148541114058</v>
      </c>
      <c r="Z28" s="316">
        <f t="shared" si="24"/>
        <v>208.40211290855069</v>
      </c>
      <c r="AA28" s="316">
        <f t="shared" si="24"/>
        <v>208.40211290855069</v>
      </c>
      <c r="AB28" s="316">
        <f t="shared" si="24"/>
        <v>208.33333333333334</v>
      </c>
      <c r="AC28" s="316">
        <f t="shared" si="24"/>
        <v>208.33333333333334</v>
      </c>
      <c r="AD28" s="316">
        <f t="shared" si="24"/>
        <v>208.26513911620293</v>
      </c>
      <c r="AE28" s="316">
        <f t="shared" si="24"/>
        <v>208.26513911620293</v>
      </c>
      <c r="AF28" s="316">
        <f t="shared" si="24"/>
        <v>208.19752281616687</v>
      </c>
      <c r="AG28" s="316">
        <f t="shared" si="24"/>
        <v>208.13047711781888</v>
      </c>
      <c r="AH28" s="316">
        <f t="shared" si="24"/>
        <v>208.06399482870071</v>
      </c>
      <c r="AI28" s="316">
        <f t="shared" si="24"/>
        <v>208.06399482870071</v>
      </c>
      <c r="AJ28" s="316">
        <f t="shared" si="24"/>
        <v>207.99806887672997</v>
      </c>
      <c r="AK28" s="316">
        <f t="shared" si="24"/>
        <v>207.93269230769232</v>
      </c>
      <c r="AL28" s="316">
        <f t="shared" si="24"/>
        <v>207.86785828279605</v>
      </c>
      <c r="AM28" s="316">
        <f t="shared" si="24"/>
        <v>207.73979107312439</v>
      </c>
      <c r="AN28" s="316">
        <f t="shared" si="24"/>
        <v>207.6765447667087</v>
      </c>
      <c r="AO28" s="316">
        <f t="shared" si="24"/>
        <v>207.61381475667187</v>
      </c>
      <c r="AP28" s="316">
        <f t="shared" si="24"/>
        <v>207.48987854251013</v>
      </c>
      <c r="AQ28" s="316">
        <f t="shared" si="24"/>
        <v>207.42866004962781</v>
      </c>
      <c r="AR28" s="316">
        <f t="shared" si="24"/>
        <v>207.30769230769232</v>
      </c>
      <c r="AS28" s="316">
        <f t="shared" si="24"/>
        <v>207.18864468864467</v>
      </c>
      <c r="AT28" s="316">
        <f t="shared" si="24"/>
        <v>207.07147183525134</v>
      </c>
      <c r="AU28" s="316">
        <f t="shared" si="24"/>
        <v>206.95612980769232</v>
      </c>
      <c r="AV28" s="316">
        <f t="shared" si="24"/>
        <v>206.84257602862255</v>
      </c>
      <c r="AW28" s="316">
        <f t="shared" si="24"/>
        <v>206.67550839964633</v>
      </c>
      <c r="AX28" s="316">
        <f t="shared" si="24"/>
        <v>206.56624744077214</v>
      </c>
      <c r="AY28" s="316">
        <f t="shared" si="24"/>
        <v>206.40543666859458</v>
      </c>
      <c r="AZ28" s="316">
        <f t="shared" si="24"/>
        <v>206.19658119658121</v>
      </c>
      <c r="BA28" s="316">
        <f t="shared" si="24"/>
        <v>206.04395604395603</v>
      </c>
      <c r="BB28" s="316">
        <f t="shared" si="24"/>
        <v>205.84559844487643</v>
      </c>
      <c r="BC28" s="316">
        <f t="shared" si="24"/>
        <v>205.65288803722967</v>
      </c>
      <c r="BD28" s="316">
        <f t="shared" si="24"/>
        <v>205.46558704453443</v>
      </c>
      <c r="BE28" s="316">
        <f t="shared" si="24"/>
        <v>205.2834708544051</v>
      </c>
      <c r="BF28" s="316">
        <f t="shared" si="24"/>
        <v>205.06279434850862</v>
      </c>
      <c r="BG28" s="316">
        <f t="shared" si="24"/>
        <v>204.80769230769232</v>
      </c>
      <c r="BH28" s="316">
        <f t="shared" si="24"/>
        <v>204.56259426847663</v>
      </c>
      <c r="BI28" s="316">
        <f t="shared" si="24"/>
        <v>204.32692307692307</v>
      </c>
      <c r="BJ28" s="420">
        <f t="shared" si="24"/>
        <v>204.06317820110922</v>
      </c>
    </row>
    <row r="29" spans="2:62" x14ac:dyDescent="0.2">
      <c r="B29" s="204"/>
      <c r="C29" s="305"/>
      <c r="D29" s="305"/>
      <c r="E29" s="305"/>
      <c r="F29" s="305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421"/>
    </row>
    <row r="30" spans="2:62" x14ac:dyDescent="0.2">
      <c r="B30" s="197" t="s">
        <v>95</v>
      </c>
      <c r="C30" s="306">
        <f>ROUND(C23*FacebookToOneTimeConversion,0)</f>
        <v>0</v>
      </c>
      <c r="D30" s="306">
        <f>ROUND(D23*FacebookToOneTimeConversion,0)</f>
        <v>0</v>
      </c>
      <c r="E30" s="306">
        <f>ROUND(E23*FacebookToOneTimeConversion,0)</f>
        <v>0</v>
      </c>
      <c r="F30" s="306">
        <v>46</v>
      </c>
      <c r="G30" s="205">
        <f t="shared" ref="G30:AL30" si="25">ROUND(G23*FacebookToOneTimeConversion,0)</f>
        <v>116</v>
      </c>
      <c r="H30" s="205">
        <f t="shared" si="25"/>
        <v>116</v>
      </c>
      <c r="I30" s="205">
        <f t="shared" si="25"/>
        <v>116</v>
      </c>
      <c r="J30" s="205">
        <f t="shared" si="25"/>
        <v>116</v>
      </c>
      <c r="K30" s="205">
        <f t="shared" si="25"/>
        <v>116</v>
      </c>
      <c r="L30" s="205">
        <f t="shared" si="25"/>
        <v>116</v>
      </c>
      <c r="M30" s="205">
        <f t="shared" si="25"/>
        <v>116</v>
      </c>
      <c r="N30" s="205">
        <f t="shared" si="25"/>
        <v>116</v>
      </c>
      <c r="O30" s="205">
        <f t="shared" si="25"/>
        <v>116</v>
      </c>
      <c r="P30" s="205">
        <f t="shared" si="25"/>
        <v>116</v>
      </c>
      <c r="Q30" s="205">
        <f t="shared" si="25"/>
        <v>116</v>
      </c>
      <c r="R30" s="205">
        <f t="shared" si="25"/>
        <v>116</v>
      </c>
      <c r="S30" s="205">
        <f t="shared" si="25"/>
        <v>116</v>
      </c>
      <c r="T30" s="205">
        <f t="shared" si="25"/>
        <v>116</v>
      </c>
      <c r="U30" s="205">
        <f t="shared" si="25"/>
        <v>116</v>
      </c>
      <c r="V30" s="205">
        <f t="shared" si="25"/>
        <v>116</v>
      </c>
      <c r="W30" s="205">
        <f t="shared" si="25"/>
        <v>116</v>
      </c>
      <c r="X30" s="205">
        <f t="shared" si="25"/>
        <v>116</v>
      </c>
      <c r="Y30" s="205">
        <f t="shared" si="25"/>
        <v>116</v>
      </c>
      <c r="Z30" s="205">
        <f t="shared" si="25"/>
        <v>116</v>
      </c>
      <c r="AA30" s="205">
        <f t="shared" si="25"/>
        <v>116</v>
      </c>
      <c r="AB30" s="205">
        <f t="shared" si="25"/>
        <v>116</v>
      </c>
      <c r="AC30" s="205">
        <f t="shared" si="25"/>
        <v>116</v>
      </c>
      <c r="AD30" s="205">
        <f t="shared" si="25"/>
        <v>116</v>
      </c>
      <c r="AE30" s="205">
        <f t="shared" si="25"/>
        <v>116</v>
      </c>
      <c r="AF30" s="205">
        <f t="shared" si="25"/>
        <v>116</v>
      </c>
      <c r="AG30" s="205">
        <f t="shared" si="25"/>
        <v>116</v>
      </c>
      <c r="AH30" s="205">
        <f t="shared" si="25"/>
        <v>116</v>
      </c>
      <c r="AI30" s="205">
        <f t="shared" si="25"/>
        <v>116</v>
      </c>
      <c r="AJ30" s="205">
        <f t="shared" si="25"/>
        <v>116</v>
      </c>
      <c r="AK30" s="205">
        <f t="shared" si="25"/>
        <v>116</v>
      </c>
      <c r="AL30" s="205">
        <f t="shared" si="25"/>
        <v>116</v>
      </c>
      <c r="AM30" s="205">
        <f t="shared" ref="AM30:BJ30" si="26">ROUND(AM23*FacebookToOneTimeConversion,0)</f>
        <v>116</v>
      </c>
      <c r="AN30" s="205">
        <f t="shared" si="26"/>
        <v>116</v>
      </c>
      <c r="AO30" s="205">
        <f t="shared" si="26"/>
        <v>116</v>
      </c>
      <c r="AP30" s="205">
        <f t="shared" si="26"/>
        <v>116</v>
      </c>
      <c r="AQ30" s="205">
        <f t="shared" si="26"/>
        <v>116</v>
      </c>
      <c r="AR30" s="205">
        <f t="shared" si="26"/>
        <v>116</v>
      </c>
      <c r="AS30" s="205">
        <f t="shared" si="26"/>
        <v>116</v>
      </c>
      <c r="AT30" s="205">
        <f t="shared" si="26"/>
        <v>116</v>
      </c>
      <c r="AU30" s="205">
        <f t="shared" si="26"/>
        <v>116</v>
      </c>
      <c r="AV30" s="205">
        <f t="shared" si="26"/>
        <v>116</v>
      </c>
      <c r="AW30" s="205">
        <f t="shared" si="26"/>
        <v>116</v>
      </c>
      <c r="AX30" s="205">
        <f t="shared" si="26"/>
        <v>116</v>
      </c>
      <c r="AY30" s="205">
        <f t="shared" si="26"/>
        <v>116</v>
      </c>
      <c r="AZ30" s="205">
        <f t="shared" si="26"/>
        <v>116</v>
      </c>
      <c r="BA30" s="205">
        <f t="shared" si="26"/>
        <v>116</v>
      </c>
      <c r="BB30" s="205">
        <f t="shared" si="26"/>
        <v>116</v>
      </c>
      <c r="BC30" s="205">
        <f t="shared" si="26"/>
        <v>116</v>
      </c>
      <c r="BD30" s="205">
        <f t="shared" si="26"/>
        <v>116</v>
      </c>
      <c r="BE30" s="205">
        <f t="shared" si="26"/>
        <v>116</v>
      </c>
      <c r="BF30" s="205">
        <f t="shared" si="26"/>
        <v>116</v>
      </c>
      <c r="BG30" s="205">
        <f t="shared" si="26"/>
        <v>116</v>
      </c>
      <c r="BH30" s="205">
        <f t="shared" si="26"/>
        <v>116</v>
      </c>
      <c r="BI30" s="205">
        <f t="shared" si="26"/>
        <v>116</v>
      </c>
      <c r="BJ30" s="422">
        <f t="shared" si="26"/>
        <v>116</v>
      </c>
    </row>
    <row r="31" spans="2:62" ht="17" thickBot="1" x14ac:dyDescent="0.25">
      <c r="B31" s="197" t="s">
        <v>96</v>
      </c>
      <c r="C31" s="307"/>
      <c r="D31" s="307"/>
      <c r="E31" s="307"/>
      <c r="F31" s="307">
        <v>26.89</v>
      </c>
      <c r="G31" s="206">
        <f t="shared" ref="G31:BJ31" si="27">AverageBasketSizeOneTimePurchases</f>
        <v>27.5</v>
      </c>
      <c r="H31" s="206">
        <f t="shared" si="27"/>
        <v>27.5</v>
      </c>
      <c r="I31" s="206">
        <f t="shared" si="27"/>
        <v>27.5</v>
      </c>
      <c r="J31" s="206">
        <f t="shared" si="27"/>
        <v>27.5</v>
      </c>
      <c r="K31" s="206">
        <f t="shared" si="27"/>
        <v>27.5</v>
      </c>
      <c r="L31" s="206">
        <f t="shared" si="27"/>
        <v>27.5</v>
      </c>
      <c r="M31" s="206">
        <f t="shared" si="27"/>
        <v>27.5</v>
      </c>
      <c r="N31" s="206">
        <f t="shared" si="27"/>
        <v>27.5</v>
      </c>
      <c r="O31" s="206">
        <f t="shared" si="27"/>
        <v>27.5</v>
      </c>
      <c r="P31" s="206">
        <f t="shared" si="27"/>
        <v>27.5</v>
      </c>
      <c r="Q31" s="206">
        <f t="shared" si="27"/>
        <v>27.5</v>
      </c>
      <c r="R31" s="206">
        <f t="shared" si="27"/>
        <v>27.5</v>
      </c>
      <c r="S31" s="206">
        <f t="shared" si="27"/>
        <v>27.5</v>
      </c>
      <c r="T31" s="206">
        <f t="shared" si="27"/>
        <v>27.5</v>
      </c>
      <c r="U31" s="206">
        <f t="shared" si="27"/>
        <v>27.5</v>
      </c>
      <c r="V31" s="206">
        <f t="shared" si="27"/>
        <v>27.5</v>
      </c>
      <c r="W31" s="206">
        <f t="shared" si="27"/>
        <v>27.5</v>
      </c>
      <c r="X31" s="206">
        <f t="shared" si="27"/>
        <v>27.5</v>
      </c>
      <c r="Y31" s="206">
        <f t="shared" si="27"/>
        <v>27.5</v>
      </c>
      <c r="Z31" s="206">
        <f t="shared" si="27"/>
        <v>27.5</v>
      </c>
      <c r="AA31" s="206">
        <f t="shared" si="27"/>
        <v>27.5</v>
      </c>
      <c r="AB31" s="206">
        <f t="shared" si="27"/>
        <v>27.5</v>
      </c>
      <c r="AC31" s="206">
        <f t="shared" si="27"/>
        <v>27.5</v>
      </c>
      <c r="AD31" s="206">
        <f t="shared" si="27"/>
        <v>27.5</v>
      </c>
      <c r="AE31" s="206">
        <f t="shared" si="27"/>
        <v>27.5</v>
      </c>
      <c r="AF31" s="206">
        <f t="shared" si="27"/>
        <v>27.5</v>
      </c>
      <c r="AG31" s="206">
        <f t="shared" si="27"/>
        <v>27.5</v>
      </c>
      <c r="AH31" s="206">
        <f t="shared" si="27"/>
        <v>27.5</v>
      </c>
      <c r="AI31" s="206">
        <f t="shared" si="27"/>
        <v>27.5</v>
      </c>
      <c r="AJ31" s="206">
        <f t="shared" si="27"/>
        <v>27.5</v>
      </c>
      <c r="AK31" s="206">
        <f t="shared" si="27"/>
        <v>27.5</v>
      </c>
      <c r="AL31" s="206">
        <f t="shared" si="27"/>
        <v>27.5</v>
      </c>
      <c r="AM31" s="206">
        <f t="shared" si="27"/>
        <v>27.5</v>
      </c>
      <c r="AN31" s="206">
        <f t="shared" si="27"/>
        <v>27.5</v>
      </c>
      <c r="AO31" s="206">
        <f t="shared" si="27"/>
        <v>27.5</v>
      </c>
      <c r="AP31" s="206">
        <f t="shared" si="27"/>
        <v>27.5</v>
      </c>
      <c r="AQ31" s="206">
        <f t="shared" si="27"/>
        <v>27.5</v>
      </c>
      <c r="AR31" s="206">
        <f t="shared" si="27"/>
        <v>27.5</v>
      </c>
      <c r="AS31" s="206">
        <f t="shared" si="27"/>
        <v>27.5</v>
      </c>
      <c r="AT31" s="206">
        <f t="shared" si="27"/>
        <v>27.5</v>
      </c>
      <c r="AU31" s="206">
        <f t="shared" si="27"/>
        <v>27.5</v>
      </c>
      <c r="AV31" s="206">
        <f t="shared" si="27"/>
        <v>27.5</v>
      </c>
      <c r="AW31" s="206">
        <f t="shared" si="27"/>
        <v>27.5</v>
      </c>
      <c r="AX31" s="206">
        <f t="shared" si="27"/>
        <v>27.5</v>
      </c>
      <c r="AY31" s="206">
        <f t="shared" si="27"/>
        <v>27.5</v>
      </c>
      <c r="AZ31" s="206">
        <f t="shared" si="27"/>
        <v>27.5</v>
      </c>
      <c r="BA31" s="206">
        <f t="shared" si="27"/>
        <v>27.5</v>
      </c>
      <c r="BB31" s="206">
        <f t="shared" si="27"/>
        <v>27.5</v>
      </c>
      <c r="BC31" s="206">
        <f t="shared" si="27"/>
        <v>27.5</v>
      </c>
      <c r="BD31" s="206">
        <f t="shared" si="27"/>
        <v>27.5</v>
      </c>
      <c r="BE31" s="206">
        <f t="shared" si="27"/>
        <v>27.5</v>
      </c>
      <c r="BF31" s="206">
        <f t="shared" si="27"/>
        <v>27.5</v>
      </c>
      <c r="BG31" s="206">
        <f t="shared" si="27"/>
        <v>27.5</v>
      </c>
      <c r="BH31" s="206">
        <f t="shared" si="27"/>
        <v>27.5</v>
      </c>
      <c r="BI31" s="206">
        <f t="shared" si="27"/>
        <v>27.5</v>
      </c>
      <c r="BJ31" s="423">
        <f t="shared" si="27"/>
        <v>27.5</v>
      </c>
    </row>
    <row r="32" spans="2:62" s="1" customFormat="1" ht="17" thickBot="1" x14ac:dyDescent="0.25">
      <c r="B32" s="201" t="s">
        <v>97</v>
      </c>
      <c r="C32" s="308">
        <f>C31*C30</f>
        <v>0</v>
      </c>
      <c r="D32" s="308">
        <f t="shared" ref="D32:G32" si="28">D31*D30</f>
        <v>0</v>
      </c>
      <c r="E32" s="308">
        <f t="shared" si="28"/>
        <v>0</v>
      </c>
      <c r="F32" s="308">
        <f t="shared" si="28"/>
        <v>1236.94</v>
      </c>
      <c r="G32" s="207">
        <f t="shared" si="28"/>
        <v>3190</v>
      </c>
      <c r="H32" s="207">
        <f t="shared" ref="H32:BJ32" si="29">H31*H30</f>
        <v>3190</v>
      </c>
      <c r="I32" s="207">
        <f t="shared" si="29"/>
        <v>3190</v>
      </c>
      <c r="J32" s="207">
        <f t="shared" si="29"/>
        <v>3190</v>
      </c>
      <c r="K32" s="207">
        <f t="shared" si="29"/>
        <v>3190</v>
      </c>
      <c r="L32" s="207">
        <f t="shared" si="29"/>
        <v>3190</v>
      </c>
      <c r="M32" s="207">
        <f t="shared" si="29"/>
        <v>3190</v>
      </c>
      <c r="N32" s="207">
        <f t="shared" si="29"/>
        <v>3190</v>
      </c>
      <c r="O32" s="207">
        <f t="shared" si="29"/>
        <v>3190</v>
      </c>
      <c r="P32" s="207">
        <f t="shared" si="29"/>
        <v>3190</v>
      </c>
      <c r="Q32" s="207">
        <f t="shared" si="29"/>
        <v>3190</v>
      </c>
      <c r="R32" s="207">
        <f t="shared" si="29"/>
        <v>3190</v>
      </c>
      <c r="S32" s="207">
        <f t="shared" si="29"/>
        <v>3190</v>
      </c>
      <c r="T32" s="207">
        <f t="shared" si="29"/>
        <v>3190</v>
      </c>
      <c r="U32" s="207">
        <f t="shared" si="29"/>
        <v>3190</v>
      </c>
      <c r="V32" s="207">
        <f t="shared" si="29"/>
        <v>3190</v>
      </c>
      <c r="W32" s="207">
        <f t="shared" si="29"/>
        <v>3190</v>
      </c>
      <c r="X32" s="207">
        <f t="shared" si="29"/>
        <v>3190</v>
      </c>
      <c r="Y32" s="207">
        <f t="shared" si="29"/>
        <v>3190</v>
      </c>
      <c r="Z32" s="207">
        <f t="shared" si="29"/>
        <v>3190</v>
      </c>
      <c r="AA32" s="207">
        <f t="shared" si="29"/>
        <v>3190</v>
      </c>
      <c r="AB32" s="207">
        <f t="shared" si="29"/>
        <v>3190</v>
      </c>
      <c r="AC32" s="207">
        <f t="shared" si="29"/>
        <v>3190</v>
      </c>
      <c r="AD32" s="207">
        <f t="shared" si="29"/>
        <v>3190</v>
      </c>
      <c r="AE32" s="207">
        <f t="shared" si="29"/>
        <v>3190</v>
      </c>
      <c r="AF32" s="207">
        <f t="shared" si="29"/>
        <v>3190</v>
      </c>
      <c r="AG32" s="207">
        <f t="shared" si="29"/>
        <v>3190</v>
      </c>
      <c r="AH32" s="207">
        <f t="shared" si="29"/>
        <v>3190</v>
      </c>
      <c r="AI32" s="207">
        <f t="shared" si="29"/>
        <v>3190</v>
      </c>
      <c r="AJ32" s="207">
        <f t="shared" si="29"/>
        <v>3190</v>
      </c>
      <c r="AK32" s="207">
        <f t="shared" si="29"/>
        <v>3190</v>
      </c>
      <c r="AL32" s="207">
        <f t="shared" si="29"/>
        <v>3190</v>
      </c>
      <c r="AM32" s="207">
        <f t="shared" si="29"/>
        <v>3190</v>
      </c>
      <c r="AN32" s="207">
        <f t="shared" si="29"/>
        <v>3190</v>
      </c>
      <c r="AO32" s="207">
        <f t="shared" si="29"/>
        <v>3190</v>
      </c>
      <c r="AP32" s="207">
        <f t="shared" si="29"/>
        <v>3190</v>
      </c>
      <c r="AQ32" s="207">
        <f t="shared" si="29"/>
        <v>3190</v>
      </c>
      <c r="AR32" s="207">
        <f t="shared" si="29"/>
        <v>3190</v>
      </c>
      <c r="AS32" s="207">
        <f t="shared" si="29"/>
        <v>3190</v>
      </c>
      <c r="AT32" s="207">
        <f t="shared" si="29"/>
        <v>3190</v>
      </c>
      <c r="AU32" s="207">
        <f t="shared" si="29"/>
        <v>3190</v>
      </c>
      <c r="AV32" s="207">
        <f t="shared" si="29"/>
        <v>3190</v>
      </c>
      <c r="AW32" s="207">
        <f t="shared" si="29"/>
        <v>3190</v>
      </c>
      <c r="AX32" s="207">
        <f t="shared" si="29"/>
        <v>3190</v>
      </c>
      <c r="AY32" s="207">
        <f t="shared" si="29"/>
        <v>3190</v>
      </c>
      <c r="AZ32" s="207">
        <f t="shared" si="29"/>
        <v>3190</v>
      </c>
      <c r="BA32" s="207">
        <f t="shared" si="29"/>
        <v>3190</v>
      </c>
      <c r="BB32" s="207">
        <f t="shared" si="29"/>
        <v>3190</v>
      </c>
      <c r="BC32" s="207">
        <f t="shared" si="29"/>
        <v>3190</v>
      </c>
      <c r="BD32" s="207">
        <f t="shared" si="29"/>
        <v>3190</v>
      </c>
      <c r="BE32" s="207">
        <f t="shared" si="29"/>
        <v>3190</v>
      </c>
      <c r="BF32" s="207">
        <f t="shared" si="29"/>
        <v>3190</v>
      </c>
      <c r="BG32" s="207">
        <f t="shared" si="29"/>
        <v>3190</v>
      </c>
      <c r="BH32" s="207">
        <f t="shared" si="29"/>
        <v>3190</v>
      </c>
      <c r="BI32" s="207">
        <f t="shared" si="29"/>
        <v>3190</v>
      </c>
      <c r="BJ32" s="424">
        <f t="shared" si="29"/>
        <v>3190</v>
      </c>
    </row>
    <row r="33" spans="2:62" x14ac:dyDescent="0.2">
      <c r="B33" s="64"/>
      <c r="C33" s="366"/>
      <c r="D33" s="366"/>
      <c r="E33" s="366"/>
      <c r="F33" s="3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1"/>
    </row>
    <row r="34" spans="2:62" x14ac:dyDescent="0.2">
      <c r="B34" s="208" t="s">
        <v>69</v>
      </c>
      <c r="C34" s="275"/>
      <c r="D34" s="275"/>
      <c r="E34" s="275"/>
      <c r="F34" s="275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427"/>
    </row>
    <row r="35" spans="2:62" x14ac:dyDescent="0.2">
      <c r="B35" s="209" t="s">
        <v>65</v>
      </c>
      <c r="C35" s="269">
        <v>0</v>
      </c>
      <c r="D35" s="269">
        <v>0</v>
      </c>
      <c r="E35" s="269">
        <v>0</v>
      </c>
      <c r="F35" s="269">
        <v>7934</v>
      </c>
      <c r="G35" s="210">
        <f t="shared" ref="G35:BJ35" si="30">MonthlyInstagramSpend</f>
        <v>10000</v>
      </c>
      <c r="H35" s="210">
        <f t="shared" si="30"/>
        <v>10000</v>
      </c>
      <c r="I35" s="210">
        <f t="shared" si="30"/>
        <v>10000</v>
      </c>
      <c r="J35" s="210">
        <f t="shared" si="30"/>
        <v>10000</v>
      </c>
      <c r="K35" s="210">
        <f t="shared" si="30"/>
        <v>10000</v>
      </c>
      <c r="L35" s="210">
        <f t="shared" si="30"/>
        <v>10000</v>
      </c>
      <c r="M35" s="210">
        <f t="shared" si="30"/>
        <v>10000</v>
      </c>
      <c r="N35" s="210">
        <f t="shared" si="30"/>
        <v>10000</v>
      </c>
      <c r="O35" s="210">
        <f t="shared" si="30"/>
        <v>10000</v>
      </c>
      <c r="P35" s="210">
        <f t="shared" si="30"/>
        <v>10000</v>
      </c>
      <c r="Q35" s="210">
        <f t="shared" si="30"/>
        <v>10000</v>
      </c>
      <c r="R35" s="210">
        <f t="shared" si="30"/>
        <v>10000</v>
      </c>
      <c r="S35" s="210">
        <f t="shared" si="30"/>
        <v>10000</v>
      </c>
      <c r="T35" s="210">
        <f t="shared" si="30"/>
        <v>10000</v>
      </c>
      <c r="U35" s="210">
        <f t="shared" si="30"/>
        <v>10000</v>
      </c>
      <c r="V35" s="210">
        <f t="shared" si="30"/>
        <v>10000</v>
      </c>
      <c r="W35" s="210">
        <f t="shared" si="30"/>
        <v>10000</v>
      </c>
      <c r="X35" s="210">
        <f t="shared" si="30"/>
        <v>10000</v>
      </c>
      <c r="Y35" s="210">
        <f t="shared" si="30"/>
        <v>10000</v>
      </c>
      <c r="Z35" s="210">
        <f t="shared" si="30"/>
        <v>10000</v>
      </c>
      <c r="AA35" s="210">
        <f t="shared" si="30"/>
        <v>10000</v>
      </c>
      <c r="AB35" s="210">
        <f t="shared" si="30"/>
        <v>10000</v>
      </c>
      <c r="AC35" s="210">
        <f t="shared" si="30"/>
        <v>10000</v>
      </c>
      <c r="AD35" s="210">
        <f t="shared" si="30"/>
        <v>10000</v>
      </c>
      <c r="AE35" s="210">
        <f t="shared" si="30"/>
        <v>10000</v>
      </c>
      <c r="AF35" s="210">
        <f t="shared" si="30"/>
        <v>10000</v>
      </c>
      <c r="AG35" s="210">
        <f t="shared" si="30"/>
        <v>10000</v>
      </c>
      <c r="AH35" s="210">
        <f t="shared" si="30"/>
        <v>10000</v>
      </c>
      <c r="AI35" s="210">
        <f t="shared" si="30"/>
        <v>10000</v>
      </c>
      <c r="AJ35" s="210">
        <f t="shared" si="30"/>
        <v>10000</v>
      </c>
      <c r="AK35" s="210">
        <f t="shared" si="30"/>
        <v>10000</v>
      </c>
      <c r="AL35" s="210">
        <f t="shared" si="30"/>
        <v>10000</v>
      </c>
      <c r="AM35" s="210">
        <f t="shared" si="30"/>
        <v>10000</v>
      </c>
      <c r="AN35" s="210">
        <f t="shared" si="30"/>
        <v>10000</v>
      </c>
      <c r="AO35" s="210">
        <f t="shared" si="30"/>
        <v>10000</v>
      </c>
      <c r="AP35" s="210">
        <f t="shared" si="30"/>
        <v>10000</v>
      </c>
      <c r="AQ35" s="210">
        <f t="shared" si="30"/>
        <v>10000</v>
      </c>
      <c r="AR35" s="210">
        <f t="shared" si="30"/>
        <v>10000</v>
      </c>
      <c r="AS35" s="210">
        <f t="shared" si="30"/>
        <v>10000</v>
      </c>
      <c r="AT35" s="210">
        <f t="shared" si="30"/>
        <v>10000</v>
      </c>
      <c r="AU35" s="210">
        <f t="shared" si="30"/>
        <v>10000</v>
      </c>
      <c r="AV35" s="210">
        <f t="shared" si="30"/>
        <v>10000</v>
      </c>
      <c r="AW35" s="210">
        <f t="shared" si="30"/>
        <v>10000</v>
      </c>
      <c r="AX35" s="210">
        <f t="shared" si="30"/>
        <v>10000</v>
      </c>
      <c r="AY35" s="210">
        <f t="shared" si="30"/>
        <v>10000</v>
      </c>
      <c r="AZ35" s="210">
        <f t="shared" si="30"/>
        <v>10000</v>
      </c>
      <c r="BA35" s="210">
        <f t="shared" si="30"/>
        <v>10000</v>
      </c>
      <c r="BB35" s="210">
        <f t="shared" si="30"/>
        <v>10000</v>
      </c>
      <c r="BC35" s="210">
        <f t="shared" si="30"/>
        <v>10000</v>
      </c>
      <c r="BD35" s="210">
        <f t="shared" si="30"/>
        <v>10000</v>
      </c>
      <c r="BE35" s="210">
        <f t="shared" si="30"/>
        <v>10000</v>
      </c>
      <c r="BF35" s="210">
        <f t="shared" si="30"/>
        <v>10000</v>
      </c>
      <c r="BG35" s="210">
        <f t="shared" si="30"/>
        <v>10000</v>
      </c>
      <c r="BH35" s="210">
        <f t="shared" si="30"/>
        <v>10000</v>
      </c>
      <c r="BI35" s="210">
        <f t="shared" si="30"/>
        <v>10000</v>
      </c>
      <c r="BJ35" s="428">
        <f t="shared" si="30"/>
        <v>10000</v>
      </c>
    </row>
    <row r="36" spans="2:62" x14ac:dyDescent="0.2">
      <c r="B36" s="209" t="s">
        <v>63</v>
      </c>
      <c r="C36" s="303"/>
      <c r="D36" s="303"/>
      <c r="E36" s="303"/>
      <c r="F36" s="303">
        <v>2.2400000000000002</v>
      </c>
      <c r="G36" s="429">
        <f t="shared" ref="G36:BJ36" si="31">InstagramCPC</f>
        <v>2</v>
      </c>
      <c r="H36" s="429">
        <f t="shared" si="31"/>
        <v>2</v>
      </c>
      <c r="I36" s="429">
        <f t="shared" si="31"/>
        <v>2</v>
      </c>
      <c r="J36" s="429">
        <f t="shared" si="31"/>
        <v>2</v>
      </c>
      <c r="K36" s="429">
        <f t="shared" si="31"/>
        <v>2</v>
      </c>
      <c r="L36" s="429">
        <f t="shared" si="31"/>
        <v>2</v>
      </c>
      <c r="M36" s="429">
        <f t="shared" si="31"/>
        <v>2</v>
      </c>
      <c r="N36" s="429">
        <f t="shared" si="31"/>
        <v>2</v>
      </c>
      <c r="O36" s="429">
        <f t="shared" si="31"/>
        <v>2</v>
      </c>
      <c r="P36" s="429">
        <f t="shared" si="31"/>
        <v>2</v>
      </c>
      <c r="Q36" s="429">
        <f t="shared" si="31"/>
        <v>2</v>
      </c>
      <c r="R36" s="429">
        <f t="shared" si="31"/>
        <v>2</v>
      </c>
      <c r="S36" s="429">
        <f t="shared" si="31"/>
        <v>2</v>
      </c>
      <c r="T36" s="429">
        <f t="shared" si="31"/>
        <v>2</v>
      </c>
      <c r="U36" s="429">
        <f t="shared" si="31"/>
        <v>2</v>
      </c>
      <c r="V36" s="429">
        <f t="shared" si="31"/>
        <v>2</v>
      </c>
      <c r="W36" s="429">
        <f t="shared" si="31"/>
        <v>2</v>
      </c>
      <c r="X36" s="429">
        <f t="shared" si="31"/>
        <v>2</v>
      </c>
      <c r="Y36" s="429">
        <f t="shared" si="31"/>
        <v>2</v>
      </c>
      <c r="Z36" s="429">
        <f t="shared" si="31"/>
        <v>2</v>
      </c>
      <c r="AA36" s="429">
        <f t="shared" si="31"/>
        <v>2</v>
      </c>
      <c r="AB36" s="429">
        <f t="shared" si="31"/>
        <v>2</v>
      </c>
      <c r="AC36" s="429">
        <f t="shared" si="31"/>
        <v>2</v>
      </c>
      <c r="AD36" s="429">
        <f t="shared" si="31"/>
        <v>2</v>
      </c>
      <c r="AE36" s="429">
        <f t="shared" si="31"/>
        <v>2</v>
      </c>
      <c r="AF36" s="429">
        <f t="shared" si="31"/>
        <v>2</v>
      </c>
      <c r="AG36" s="429">
        <f t="shared" si="31"/>
        <v>2</v>
      </c>
      <c r="AH36" s="429">
        <f t="shared" si="31"/>
        <v>2</v>
      </c>
      <c r="AI36" s="429">
        <f t="shared" si="31"/>
        <v>2</v>
      </c>
      <c r="AJ36" s="429">
        <f t="shared" si="31"/>
        <v>2</v>
      </c>
      <c r="AK36" s="429">
        <f t="shared" si="31"/>
        <v>2</v>
      </c>
      <c r="AL36" s="429">
        <f t="shared" si="31"/>
        <v>2</v>
      </c>
      <c r="AM36" s="429">
        <f t="shared" si="31"/>
        <v>2</v>
      </c>
      <c r="AN36" s="429">
        <f t="shared" si="31"/>
        <v>2</v>
      </c>
      <c r="AO36" s="429">
        <f t="shared" si="31"/>
        <v>2</v>
      </c>
      <c r="AP36" s="429">
        <f t="shared" si="31"/>
        <v>2</v>
      </c>
      <c r="AQ36" s="429">
        <f t="shared" si="31"/>
        <v>2</v>
      </c>
      <c r="AR36" s="429">
        <f t="shared" si="31"/>
        <v>2</v>
      </c>
      <c r="AS36" s="429">
        <f t="shared" si="31"/>
        <v>2</v>
      </c>
      <c r="AT36" s="429">
        <f t="shared" si="31"/>
        <v>2</v>
      </c>
      <c r="AU36" s="429">
        <f t="shared" si="31"/>
        <v>2</v>
      </c>
      <c r="AV36" s="429">
        <f t="shared" si="31"/>
        <v>2</v>
      </c>
      <c r="AW36" s="429">
        <f t="shared" si="31"/>
        <v>2</v>
      </c>
      <c r="AX36" s="429">
        <f t="shared" si="31"/>
        <v>2</v>
      </c>
      <c r="AY36" s="429">
        <f t="shared" si="31"/>
        <v>2</v>
      </c>
      <c r="AZ36" s="429">
        <f t="shared" si="31"/>
        <v>2</v>
      </c>
      <c r="BA36" s="429">
        <f t="shared" si="31"/>
        <v>2</v>
      </c>
      <c r="BB36" s="429">
        <f t="shared" si="31"/>
        <v>2</v>
      </c>
      <c r="BC36" s="429">
        <f t="shared" si="31"/>
        <v>2</v>
      </c>
      <c r="BD36" s="429">
        <f t="shared" si="31"/>
        <v>2</v>
      </c>
      <c r="BE36" s="429">
        <f t="shared" si="31"/>
        <v>2</v>
      </c>
      <c r="BF36" s="429">
        <f t="shared" si="31"/>
        <v>2</v>
      </c>
      <c r="BG36" s="429">
        <f t="shared" si="31"/>
        <v>2</v>
      </c>
      <c r="BH36" s="429">
        <f t="shared" si="31"/>
        <v>2</v>
      </c>
      <c r="BI36" s="429">
        <f t="shared" si="31"/>
        <v>2</v>
      </c>
      <c r="BJ36" s="430">
        <f t="shared" si="31"/>
        <v>2</v>
      </c>
    </row>
    <row r="37" spans="2:62" x14ac:dyDescent="0.2">
      <c r="B37" s="209" t="s">
        <v>66</v>
      </c>
      <c r="C37" s="292"/>
      <c r="D37" s="292"/>
      <c r="E37" s="292"/>
      <c r="F37" s="292">
        <f t="shared" ref="F37:G37" si="32">F35/F36</f>
        <v>3541.9642857142853</v>
      </c>
      <c r="G37" s="211">
        <f t="shared" si="32"/>
        <v>5000</v>
      </c>
      <c r="H37" s="211">
        <f t="shared" ref="H37:BJ37" si="33">H35/H36</f>
        <v>5000</v>
      </c>
      <c r="I37" s="211">
        <f t="shared" si="33"/>
        <v>5000</v>
      </c>
      <c r="J37" s="211">
        <f t="shared" si="33"/>
        <v>5000</v>
      </c>
      <c r="K37" s="211">
        <f t="shared" si="33"/>
        <v>5000</v>
      </c>
      <c r="L37" s="211">
        <f t="shared" si="33"/>
        <v>5000</v>
      </c>
      <c r="M37" s="211">
        <f t="shared" si="33"/>
        <v>5000</v>
      </c>
      <c r="N37" s="211">
        <f t="shared" si="33"/>
        <v>5000</v>
      </c>
      <c r="O37" s="211">
        <f t="shared" si="33"/>
        <v>5000</v>
      </c>
      <c r="P37" s="211">
        <f t="shared" si="33"/>
        <v>5000</v>
      </c>
      <c r="Q37" s="211">
        <f t="shared" si="33"/>
        <v>5000</v>
      </c>
      <c r="R37" s="211">
        <f t="shared" si="33"/>
        <v>5000</v>
      </c>
      <c r="S37" s="211">
        <f t="shared" si="33"/>
        <v>5000</v>
      </c>
      <c r="T37" s="211">
        <f t="shared" si="33"/>
        <v>5000</v>
      </c>
      <c r="U37" s="211">
        <f t="shared" si="33"/>
        <v>5000</v>
      </c>
      <c r="V37" s="211">
        <f t="shared" si="33"/>
        <v>5000</v>
      </c>
      <c r="W37" s="211">
        <f t="shared" si="33"/>
        <v>5000</v>
      </c>
      <c r="X37" s="211">
        <f t="shared" si="33"/>
        <v>5000</v>
      </c>
      <c r="Y37" s="211">
        <f t="shared" si="33"/>
        <v>5000</v>
      </c>
      <c r="Z37" s="211">
        <f t="shared" si="33"/>
        <v>5000</v>
      </c>
      <c r="AA37" s="211">
        <f t="shared" si="33"/>
        <v>5000</v>
      </c>
      <c r="AB37" s="211">
        <f t="shared" si="33"/>
        <v>5000</v>
      </c>
      <c r="AC37" s="211">
        <f t="shared" si="33"/>
        <v>5000</v>
      </c>
      <c r="AD37" s="211">
        <f t="shared" si="33"/>
        <v>5000</v>
      </c>
      <c r="AE37" s="211">
        <f t="shared" si="33"/>
        <v>5000</v>
      </c>
      <c r="AF37" s="211">
        <f t="shared" si="33"/>
        <v>5000</v>
      </c>
      <c r="AG37" s="211">
        <f t="shared" si="33"/>
        <v>5000</v>
      </c>
      <c r="AH37" s="211">
        <f t="shared" si="33"/>
        <v>5000</v>
      </c>
      <c r="AI37" s="211">
        <f t="shared" si="33"/>
        <v>5000</v>
      </c>
      <c r="AJ37" s="211">
        <f t="shared" si="33"/>
        <v>5000</v>
      </c>
      <c r="AK37" s="211">
        <f t="shared" si="33"/>
        <v>5000</v>
      </c>
      <c r="AL37" s="211">
        <f t="shared" si="33"/>
        <v>5000</v>
      </c>
      <c r="AM37" s="211">
        <f t="shared" si="33"/>
        <v>5000</v>
      </c>
      <c r="AN37" s="211">
        <f t="shared" si="33"/>
        <v>5000</v>
      </c>
      <c r="AO37" s="211">
        <f t="shared" si="33"/>
        <v>5000</v>
      </c>
      <c r="AP37" s="211">
        <f t="shared" si="33"/>
        <v>5000</v>
      </c>
      <c r="AQ37" s="211">
        <f t="shared" si="33"/>
        <v>5000</v>
      </c>
      <c r="AR37" s="211">
        <f t="shared" si="33"/>
        <v>5000</v>
      </c>
      <c r="AS37" s="211">
        <f t="shared" si="33"/>
        <v>5000</v>
      </c>
      <c r="AT37" s="211">
        <f t="shared" si="33"/>
        <v>5000</v>
      </c>
      <c r="AU37" s="211">
        <f t="shared" si="33"/>
        <v>5000</v>
      </c>
      <c r="AV37" s="211">
        <f t="shared" si="33"/>
        <v>5000</v>
      </c>
      <c r="AW37" s="211">
        <f t="shared" si="33"/>
        <v>5000</v>
      </c>
      <c r="AX37" s="211">
        <f t="shared" si="33"/>
        <v>5000</v>
      </c>
      <c r="AY37" s="211">
        <f t="shared" si="33"/>
        <v>5000</v>
      </c>
      <c r="AZ37" s="211">
        <f t="shared" si="33"/>
        <v>5000</v>
      </c>
      <c r="BA37" s="211">
        <f t="shared" si="33"/>
        <v>5000</v>
      </c>
      <c r="BB37" s="211">
        <f t="shared" si="33"/>
        <v>5000</v>
      </c>
      <c r="BC37" s="211">
        <f t="shared" si="33"/>
        <v>5000</v>
      </c>
      <c r="BD37" s="211">
        <f t="shared" si="33"/>
        <v>5000</v>
      </c>
      <c r="BE37" s="211">
        <f t="shared" si="33"/>
        <v>5000</v>
      </c>
      <c r="BF37" s="211">
        <f t="shared" si="33"/>
        <v>5000</v>
      </c>
      <c r="BG37" s="211">
        <f t="shared" si="33"/>
        <v>5000</v>
      </c>
      <c r="BH37" s="211">
        <f t="shared" si="33"/>
        <v>5000</v>
      </c>
      <c r="BI37" s="211">
        <f t="shared" si="33"/>
        <v>5000</v>
      </c>
      <c r="BJ37" s="431">
        <f t="shared" si="33"/>
        <v>5000</v>
      </c>
    </row>
    <row r="38" spans="2:62" ht="17" thickBot="1" x14ac:dyDescent="0.25">
      <c r="B38" s="209" t="s">
        <v>67</v>
      </c>
      <c r="C38" s="294"/>
      <c r="D38" s="294"/>
      <c r="E38" s="294"/>
      <c r="F38" s="294">
        <v>6.4999999999999997E-3</v>
      </c>
      <c r="G38" s="212">
        <f t="shared" ref="G38:BJ38" si="34">InstagramToSubConversion</f>
        <v>7.1999999999999998E-3</v>
      </c>
      <c r="H38" s="212">
        <f t="shared" si="34"/>
        <v>7.1999999999999998E-3</v>
      </c>
      <c r="I38" s="212">
        <f t="shared" si="34"/>
        <v>7.1999999999999998E-3</v>
      </c>
      <c r="J38" s="212">
        <f t="shared" si="34"/>
        <v>7.1999999999999998E-3</v>
      </c>
      <c r="K38" s="212">
        <f t="shared" si="34"/>
        <v>7.1999999999999998E-3</v>
      </c>
      <c r="L38" s="212">
        <f t="shared" si="34"/>
        <v>7.1999999999999998E-3</v>
      </c>
      <c r="M38" s="212">
        <f t="shared" si="34"/>
        <v>7.1999999999999998E-3</v>
      </c>
      <c r="N38" s="212">
        <f t="shared" si="34"/>
        <v>7.1999999999999998E-3</v>
      </c>
      <c r="O38" s="212">
        <f t="shared" si="34"/>
        <v>7.1999999999999998E-3</v>
      </c>
      <c r="P38" s="212">
        <f t="shared" si="34"/>
        <v>7.1999999999999998E-3</v>
      </c>
      <c r="Q38" s="212">
        <f t="shared" si="34"/>
        <v>7.1999999999999998E-3</v>
      </c>
      <c r="R38" s="212">
        <f t="shared" si="34"/>
        <v>7.1999999999999998E-3</v>
      </c>
      <c r="S38" s="212">
        <f t="shared" si="34"/>
        <v>7.1999999999999998E-3</v>
      </c>
      <c r="T38" s="212">
        <f t="shared" si="34"/>
        <v>7.1999999999999998E-3</v>
      </c>
      <c r="U38" s="212">
        <f t="shared" si="34"/>
        <v>7.1999999999999998E-3</v>
      </c>
      <c r="V38" s="212">
        <f t="shared" si="34"/>
        <v>7.1999999999999998E-3</v>
      </c>
      <c r="W38" s="212">
        <f t="shared" si="34"/>
        <v>7.1999999999999998E-3</v>
      </c>
      <c r="X38" s="212">
        <f t="shared" si="34"/>
        <v>7.1999999999999998E-3</v>
      </c>
      <c r="Y38" s="212">
        <f t="shared" si="34"/>
        <v>7.1999999999999998E-3</v>
      </c>
      <c r="Z38" s="212">
        <f t="shared" si="34"/>
        <v>7.1999999999999998E-3</v>
      </c>
      <c r="AA38" s="212">
        <f t="shared" si="34"/>
        <v>7.1999999999999998E-3</v>
      </c>
      <c r="AB38" s="212">
        <f t="shared" si="34"/>
        <v>7.1999999999999998E-3</v>
      </c>
      <c r="AC38" s="212">
        <f t="shared" si="34"/>
        <v>7.1999999999999998E-3</v>
      </c>
      <c r="AD38" s="212">
        <f t="shared" si="34"/>
        <v>7.1999999999999998E-3</v>
      </c>
      <c r="AE38" s="212">
        <f t="shared" si="34"/>
        <v>7.1999999999999998E-3</v>
      </c>
      <c r="AF38" s="212">
        <f t="shared" si="34"/>
        <v>7.1999999999999998E-3</v>
      </c>
      <c r="AG38" s="212">
        <f t="shared" si="34"/>
        <v>7.1999999999999998E-3</v>
      </c>
      <c r="AH38" s="212">
        <f t="shared" si="34"/>
        <v>7.1999999999999998E-3</v>
      </c>
      <c r="AI38" s="212">
        <f t="shared" si="34"/>
        <v>7.1999999999999998E-3</v>
      </c>
      <c r="AJ38" s="212">
        <f t="shared" si="34"/>
        <v>7.1999999999999998E-3</v>
      </c>
      <c r="AK38" s="212">
        <f t="shared" si="34"/>
        <v>7.1999999999999998E-3</v>
      </c>
      <c r="AL38" s="212">
        <f t="shared" si="34"/>
        <v>7.1999999999999998E-3</v>
      </c>
      <c r="AM38" s="212">
        <f t="shared" si="34"/>
        <v>7.1999999999999998E-3</v>
      </c>
      <c r="AN38" s="212">
        <f t="shared" si="34"/>
        <v>7.1999999999999998E-3</v>
      </c>
      <c r="AO38" s="212">
        <f t="shared" si="34"/>
        <v>7.1999999999999998E-3</v>
      </c>
      <c r="AP38" s="212">
        <f t="shared" si="34"/>
        <v>7.1999999999999998E-3</v>
      </c>
      <c r="AQ38" s="212">
        <f t="shared" si="34"/>
        <v>7.1999999999999998E-3</v>
      </c>
      <c r="AR38" s="212">
        <f t="shared" si="34"/>
        <v>7.1999999999999998E-3</v>
      </c>
      <c r="AS38" s="212">
        <f t="shared" si="34"/>
        <v>7.1999999999999998E-3</v>
      </c>
      <c r="AT38" s="212">
        <f t="shared" si="34"/>
        <v>7.1999999999999998E-3</v>
      </c>
      <c r="AU38" s="212">
        <f t="shared" si="34"/>
        <v>7.1999999999999998E-3</v>
      </c>
      <c r="AV38" s="212">
        <f t="shared" si="34"/>
        <v>7.1999999999999998E-3</v>
      </c>
      <c r="AW38" s="212">
        <f t="shared" si="34"/>
        <v>7.1999999999999998E-3</v>
      </c>
      <c r="AX38" s="212">
        <f t="shared" si="34"/>
        <v>7.1999999999999998E-3</v>
      </c>
      <c r="AY38" s="212">
        <f t="shared" si="34"/>
        <v>7.1999999999999998E-3</v>
      </c>
      <c r="AZ38" s="212">
        <f t="shared" si="34"/>
        <v>7.1999999999999998E-3</v>
      </c>
      <c r="BA38" s="212">
        <f t="shared" si="34"/>
        <v>7.1999999999999998E-3</v>
      </c>
      <c r="BB38" s="212">
        <f t="shared" si="34"/>
        <v>7.1999999999999998E-3</v>
      </c>
      <c r="BC38" s="212">
        <f t="shared" si="34"/>
        <v>7.1999999999999998E-3</v>
      </c>
      <c r="BD38" s="212">
        <f t="shared" si="34"/>
        <v>7.1999999999999998E-3</v>
      </c>
      <c r="BE38" s="212">
        <f t="shared" si="34"/>
        <v>7.1999999999999998E-3</v>
      </c>
      <c r="BF38" s="212">
        <f t="shared" si="34"/>
        <v>7.1999999999999998E-3</v>
      </c>
      <c r="BG38" s="212">
        <f t="shared" si="34"/>
        <v>7.1999999999999998E-3</v>
      </c>
      <c r="BH38" s="212">
        <f t="shared" si="34"/>
        <v>7.1999999999999998E-3</v>
      </c>
      <c r="BI38" s="212">
        <f t="shared" si="34"/>
        <v>7.1999999999999998E-3</v>
      </c>
      <c r="BJ38" s="432">
        <f t="shared" si="34"/>
        <v>7.1999999999999998E-3</v>
      </c>
    </row>
    <row r="39" spans="2:62" ht="17" thickBot="1" x14ac:dyDescent="0.25">
      <c r="B39" s="213" t="s">
        <v>58</v>
      </c>
      <c r="C39" s="304">
        <f t="shared" ref="C39:AH39" si="35">ROUND(C37*C38,0)</f>
        <v>0</v>
      </c>
      <c r="D39" s="304">
        <f t="shared" si="35"/>
        <v>0</v>
      </c>
      <c r="E39" s="304">
        <f t="shared" si="35"/>
        <v>0</v>
      </c>
      <c r="F39" s="304">
        <f t="shared" si="35"/>
        <v>23</v>
      </c>
      <c r="G39" s="214">
        <f t="shared" si="35"/>
        <v>36</v>
      </c>
      <c r="H39" s="214">
        <f t="shared" si="35"/>
        <v>36</v>
      </c>
      <c r="I39" s="214">
        <f t="shared" si="35"/>
        <v>36</v>
      </c>
      <c r="J39" s="214">
        <f t="shared" si="35"/>
        <v>36</v>
      </c>
      <c r="K39" s="214">
        <f t="shared" si="35"/>
        <v>36</v>
      </c>
      <c r="L39" s="214">
        <f t="shared" si="35"/>
        <v>36</v>
      </c>
      <c r="M39" s="214">
        <f t="shared" si="35"/>
        <v>36</v>
      </c>
      <c r="N39" s="214">
        <f t="shared" si="35"/>
        <v>36</v>
      </c>
      <c r="O39" s="214">
        <f t="shared" si="35"/>
        <v>36</v>
      </c>
      <c r="P39" s="214">
        <f t="shared" si="35"/>
        <v>36</v>
      </c>
      <c r="Q39" s="214">
        <f t="shared" si="35"/>
        <v>36</v>
      </c>
      <c r="R39" s="214">
        <f t="shared" si="35"/>
        <v>36</v>
      </c>
      <c r="S39" s="214">
        <f t="shared" si="35"/>
        <v>36</v>
      </c>
      <c r="T39" s="214">
        <f t="shared" si="35"/>
        <v>36</v>
      </c>
      <c r="U39" s="214">
        <f t="shared" si="35"/>
        <v>36</v>
      </c>
      <c r="V39" s="214">
        <f t="shared" si="35"/>
        <v>36</v>
      </c>
      <c r="W39" s="214">
        <f t="shared" si="35"/>
        <v>36</v>
      </c>
      <c r="X39" s="214">
        <f t="shared" si="35"/>
        <v>36</v>
      </c>
      <c r="Y39" s="214">
        <f t="shared" si="35"/>
        <v>36</v>
      </c>
      <c r="Z39" s="214">
        <f t="shared" si="35"/>
        <v>36</v>
      </c>
      <c r="AA39" s="214">
        <f t="shared" si="35"/>
        <v>36</v>
      </c>
      <c r="AB39" s="214">
        <f t="shared" si="35"/>
        <v>36</v>
      </c>
      <c r="AC39" s="214">
        <f t="shared" si="35"/>
        <v>36</v>
      </c>
      <c r="AD39" s="214">
        <f t="shared" si="35"/>
        <v>36</v>
      </c>
      <c r="AE39" s="214">
        <f t="shared" si="35"/>
        <v>36</v>
      </c>
      <c r="AF39" s="214">
        <f t="shared" si="35"/>
        <v>36</v>
      </c>
      <c r="AG39" s="214">
        <f t="shared" si="35"/>
        <v>36</v>
      </c>
      <c r="AH39" s="214">
        <f t="shared" si="35"/>
        <v>36</v>
      </c>
      <c r="AI39" s="214">
        <f t="shared" ref="AI39:BJ39" si="36">ROUND(AI37*AI38,0)</f>
        <v>36</v>
      </c>
      <c r="AJ39" s="214">
        <f t="shared" si="36"/>
        <v>36</v>
      </c>
      <c r="AK39" s="214">
        <f t="shared" si="36"/>
        <v>36</v>
      </c>
      <c r="AL39" s="214">
        <f t="shared" si="36"/>
        <v>36</v>
      </c>
      <c r="AM39" s="214">
        <f t="shared" si="36"/>
        <v>36</v>
      </c>
      <c r="AN39" s="214">
        <f t="shared" si="36"/>
        <v>36</v>
      </c>
      <c r="AO39" s="214">
        <f t="shared" si="36"/>
        <v>36</v>
      </c>
      <c r="AP39" s="214">
        <f t="shared" si="36"/>
        <v>36</v>
      </c>
      <c r="AQ39" s="214">
        <f t="shared" si="36"/>
        <v>36</v>
      </c>
      <c r="AR39" s="214">
        <f t="shared" si="36"/>
        <v>36</v>
      </c>
      <c r="AS39" s="214">
        <f t="shared" si="36"/>
        <v>36</v>
      </c>
      <c r="AT39" s="214">
        <f t="shared" si="36"/>
        <v>36</v>
      </c>
      <c r="AU39" s="214">
        <f t="shared" si="36"/>
        <v>36</v>
      </c>
      <c r="AV39" s="214">
        <f t="shared" si="36"/>
        <v>36</v>
      </c>
      <c r="AW39" s="214">
        <f t="shared" si="36"/>
        <v>36</v>
      </c>
      <c r="AX39" s="214">
        <f t="shared" si="36"/>
        <v>36</v>
      </c>
      <c r="AY39" s="214">
        <f t="shared" si="36"/>
        <v>36</v>
      </c>
      <c r="AZ39" s="214">
        <f t="shared" si="36"/>
        <v>36</v>
      </c>
      <c r="BA39" s="214">
        <f t="shared" si="36"/>
        <v>36</v>
      </c>
      <c r="BB39" s="214">
        <f t="shared" si="36"/>
        <v>36</v>
      </c>
      <c r="BC39" s="214">
        <f t="shared" si="36"/>
        <v>36</v>
      </c>
      <c r="BD39" s="214">
        <f t="shared" si="36"/>
        <v>36</v>
      </c>
      <c r="BE39" s="214">
        <f t="shared" si="36"/>
        <v>36</v>
      </c>
      <c r="BF39" s="214">
        <f t="shared" si="36"/>
        <v>36</v>
      </c>
      <c r="BG39" s="214">
        <f t="shared" si="36"/>
        <v>36</v>
      </c>
      <c r="BH39" s="214">
        <f t="shared" si="36"/>
        <v>36</v>
      </c>
      <c r="BI39" s="214">
        <f t="shared" si="36"/>
        <v>36</v>
      </c>
      <c r="BJ39" s="433">
        <f t="shared" si="36"/>
        <v>36</v>
      </c>
    </row>
    <row r="40" spans="2:62" s="17" customFormat="1" x14ac:dyDescent="0.2">
      <c r="B40" s="426" t="s">
        <v>208</v>
      </c>
      <c r="C40" s="269"/>
      <c r="D40" s="269"/>
      <c r="E40" s="269"/>
      <c r="F40" s="269">
        <f>F39/F$60*'Income Statement - Monthly'!G$26</f>
        <v>750</v>
      </c>
      <c r="G40" s="210">
        <f>G39/G$60*'Income Statement - Monthly'!H$26</f>
        <v>592.10526315789468</v>
      </c>
      <c r="H40" s="210">
        <f>H39/H$60*'Income Statement - Monthly'!I$26</f>
        <v>592.10526315789468</v>
      </c>
      <c r="I40" s="210">
        <f>I39/I$60*'Income Statement - Monthly'!J$26</f>
        <v>589.51965065502191</v>
      </c>
      <c r="J40" s="210">
        <f>J39/J$60*'Income Statement - Monthly'!K$26</f>
        <v>589.51965065502191</v>
      </c>
      <c r="K40" s="210">
        <f>K39/K$60*'Income Statement - Monthly'!L$26</f>
        <v>589.51965065502191</v>
      </c>
      <c r="L40" s="210">
        <f>L39/L$60*'Income Statement - Monthly'!M$26</f>
        <v>589.51965065502191</v>
      </c>
      <c r="M40" s="210">
        <f>M39/M$60*'Income Statement - Monthly'!N$26</f>
        <v>589.51965065502191</v>
      </c>
      <c r="N40" s="210">
        <f>N39/N$60*'Income Statement - Monthly'!O$26</f>
        <v>589.51965065502191</v>
      </c>
      <c r="O40" s="210">
        <f>O39/O$60*'Income Statement - Monthly'!P$26</f>
        <v>589.51965065502191</v>
      </c>
      <c r="P40" s="210">
        <f>P39/P$60*'Income Statement - Monthly'!Q$26</f>
        <v>586.95652173913049</v>
      </c>
      <c r="Q40" s="210">
        <f>Q39/Q$60*'Income Statement - Monthly'!R$26</f>
        <v>586.95652173913049</v>
      </c>
      <c r="R40" s="210">
        <f>R39/R$60*'Income Statement - Monthly'!S$26</f>
        <v>586.95652173913049</v>
      </c>
      <c r="S40" s="210">
        <f>S39/S$60*'Income Statement - Monthly'!T$26</f>
        <v>586.95652173913049</v>
      </c>
      <c r="T40" s="210">
        <f>T39/T$60*'Income Statement - Monthly'!U$26</f>
        <v>584.41558441558436</v>
      </c>
      <c r="U40" s="210">
        <f>U39/U$60*'Income Statement - Monthly'!V$26</f>
        <v>584.41558441558436</v>
      </c>
      <c r="V40" s="210">
        <f>V39/V$60*'Income Statement - Monthly'!W$26</f>
        <v>584.41558441558436</v>
      </c>
      <c r="W40" s="210">
        <f>W39/W$60*'Income Statement - Monthly'!X$26</f>
        <v>581.89655172413791</v>
      </c>
      <c r="X40" s="210">
        <f>X39/X$60*'Income Statement - Monthly'!Y$26</f>
        <v>581.89655172413791</v>
      </c>
      <c r="Y40" s="210">
        <f>Y39/Y$60*'Income Statement - Monthly'!Z$26</f>
        <v>581.89655172413791</v>
      </c>
      <c r="Z40" s="210">
        <f>Z39/Z$60*'Income Statement - Monthly'!AA$26</f>
        <v>579.39914163090134</v>
      </c>
      <c r="AA40" s="210">
        <f>AA39/AA$60*'Income Statement - Monthly'!AB$26</f>
        <v>579.39914163090134</v>
      </c>
      <c r="AB40" s="210">
        <f>AB39/AB$60*'Income Statement - Monthly'!AC$26</f>
        <v>576.92307692307691</v>
      </c>
      <c r="AC40" s="210">
        <f>AC39/AC$60*'Income Statement - Monthly'!AD$26</f>
        <v>576.92307692307691</v>
      </c>
      <c r="AD40" s="210">
        <f>AD39/AD$60*'Income Statement - Monthly'!AE$26</f>
        <v>574.468085106383</v>
      </c>
      <c r="AE40" s="210">
        <f>AE39/AE$60*'Income Statement - Monthly'!AF$26</f>
        <v>574.468085106383</v>
      </c>
      <c r="AF40" s="210">
        <f>AF39/AF$60*'Income Statement - Monthly'!AG$26</f>
        <v>572.03389830508479</v>
      </c>
      <c r="AG40" s="210">
        <f>AG39/AG$60*'Income Statement - Monthly'!AH$26</f>
        <v>569.62025316455697</v>
      </c>
      <c r="AH40" s="210">
        <f>AH39/AH$60*'Income Statement - Monthly'!AI$26</f>
        <v>567.22689075630251</v>
      </c>
      <c r="AI40" s="210">
        <f>AI39/AI$60*'Income Statement - Monthly'!AJ$26</f>
        <v>567.22689075630251</v>
      </c>
      <c r="AJ40" s="210">
        <f>AJ39/AJ$60*'Income Statement - Monthly'!AK$26</f>
        <v>564.85355648535563</v>
      </c>
      <c r="AK40" s="210">
        <f>AK39/AK$60*'Income Statement - Monthly'!AL$26</f>
        <v>562.5</v>
      </c>
      <c r="AL40" s="210">
        <f>AL39/AL$60*'Income Statement - Monthly'!AM$26</f>
        <v>560.16597510373447</v>
      </c>
      <c r="AM40" s="210">
        <f>AM39/AM$60*'Income Statement - Monthly'!AN$26</f>
        <v>555.55555555555554</v>
      </c>
      <c r="AN40" s="210">
        <f>AN39/AN$60*'Income Statement - Monthly'!AO$26</f>
        <v>553.27868852459017</v>
      </c>
      <c r="AO40" s="210">
        <f>AO39/AO$60*'Income Statement - Monthly'!AP$26</f>
        <v>551.0204081632653</v>
      </c>
      <c r="AP40" s="210">
        <f>AP39/AP$60*'Income Statement - Monthly'!AQ$26</f>
        <v>546.55870445344124</v>
      </c>
      <c r="AQ40" s="210">
        <f>AQ39/AQ$60*'Income Statement - Monthly'!AR$26</f>
        <v>544.35483870967744</v>
      </c>
      <c r="AR40" s="210">
        <f>AR39/AR$60*'Income Statement - Monthly'!AS$26</f>
        <v>540</v>
      </c>
      <c r="AS40" s="210">
        <f>AS39/AS$60*'Income Statement - Monthly'!AT$26</f>
        <v>535.71428571428567</v>
      </c>
      <c r="AT40" s="210">
        <f>AT39/AT$60*'Income Statement - Monthly'!AU$26</f>
        <v>531.49606299212599</v>
      </c>
      <c r="AU40" s="210">
        <f>AU39/AU$60*'Income Statement - Monthly'!AV$26</f>
        <v>527.34375</v>
      </c>
      <c r="AV40" s="210">
        <f>AV39/AV$60*'Income Statement - Monthly'!AW$26</f>
        <v>523.25581395348831</v>
      </c>
      <c r="AW40" s="210">
        <f>AW39/AW$60*'Income Statement - Monthly'!AX$26</f>
        <v>517.24137931034477</v>
      </c>
      <c r="AX40" s="210">
        <f>AX39/AX$60*'Income Statement - Monthly'!AY$26</f>
        <v>513.30798479087457</v>
      </c>
      <c r="AY40" s="210">
        <f>AY39/AY$60*'Income Statement - Monthly'!AZ$26</f>
        <v>507.51879699248116</v>
      </c>
      <c r="AZ40" s="210">
        <f>AZ39/AZ$60*'Income Statement - Monthly'!BA$26</f>
        <v>500</v>
      </c>
      <c r="BA40" s="210">
        <f>BA39/BA$60*'Income Statement - Monthly'!BB$26</f>
        <v>494.50549450549454</v>
      </c>
      <c r="BB40" s="210">
        <f>BB39/BB$60*'Income Statement - Monthly'!BC$26</f>
        <v>487.36462093862809</v>
      </c>
      <c r="BC40" s="210">
        <f>BC39/BC$60*'Income Statement - Monthly'!BD$26</f>
        <v>480.42704626334523</v>
      </c>
      <c r="BD40" s="210">
        <f>BD39/BD$60*'Income Statement - Monthly'!BE$26</f>
        <v>473.68421052631578</v>
      </c>
      <c r="BE40" s="210">
        <f>BE39/BE$60*'Income Statement - Monthly'!BF$26</f>
        <v>467.12802768166085</v>
      </c>
      <c r="BF40" s="210">
        <f>BF39/BF$60*'Income Statement - Monthly'!BG$26</f>
        <v>459.18367346938777</v>
      </c>
      <c r="BG40" s="210">
        <f>BG39/BG$60*'Income Statement - Monthly'!BH$26</f>
        <v>450</v>
      </c>
      <c r="BH40" s="210">
        <f>BH39/BH$60*'Income Statement - Monthly'!BI$26</f>
        <v>441.1764705882353</v>
      </c>
      <c r="BI40" s="210">
        <f>BI39/BI$60*'Income Statement - Monthly'!BJ$26</f>
        <v>432.69230769230774</v>
      </c>
      <c r="BJ40" s="428">
        <f>BJ39/BJ$60*'Income Statement - Monthly'!BK$26</f>
        <v>423.19749216300943</v>
      </c>
    </row>
    <row r="41" spans="2:62" s="17" customFormat="1" x14ac:dyDescent="0.2">
      <c r="B41" s="426" t="s">
        <v>213</v>
      </c>
      <c r="C41" s="269"/>
      <c r="D41" s="269"/>
      <c r="E41" s="269"/>
      <c r="F41" s="269">
        <f>F35+F40</f>
        <v>8684</v>
      </c>
      <c r="G41" s="210">
        <f t="shared" ref="G41:BJ41" si="37">G35+G40</f>
        <v>10592.105263157895</v>
      </c>
      <c r="H41" s="210">
        <f t="shared" si="37"/>
        <v>10592.105263157895</v>
      </c>
      <c r="I41" s="210">
        <f t="shared" si="37"/>
        <v>10589.519650655022</v>
      </c>
      <c r="J41" s="210">
        <f t="shared" si="37"/>
        <v>10589.519650655022</v>
      </c>
      <c r="K41" s="210">
        <f t="shared" si="37"/>
        <v>10589.519650655022</v>
      </c>
      <c r="L41" s="210">
        <f t="shared" si="37"/>
        <v>10589.519650655022</v>
      </c>
      <c r="M41" s="210">
        <f t="shared" si="37"/>
        <v>10589.519650655022</v>
      </c>
      <c r="N41" s="210">
        <f t="shared" si="37"/>
        <v>10589.519650655022</v>
      </c>
      <c r="O41" s="210">
        <f t="shared" si="37"/>
        <v>10589.519650655022</v>
      </c>
      <c r="P41" s="210">
        <f t="shared" si="37"/>
        <v>10586.95652173913</v>
      </c>
      <c r="Q41" s="210">
        <f t="shared" si="37"/>
        <v>10586.95652173913</v>
      </c>
      <c r="R41" s="210">
        <f t="shared" si="37"/>
        <v>10586.95652173913</v>
      </c>
      <c r="S41" s="210">
        <f t="shared" si="37"/>
        <v>10586.95652173913</v>
      </c>
      <c r="T41" s="210">
        <f t="shared" si="37"/>
        <v>10584.415584415585</v>
      </c>
      <c r="U41" s="210">
        <f t="shared" si="37"/>
        <v>10584.415584415585</v>
      </c>
      <c r="V41" s="210">
        <f t="shared" si="37"/>
        <v>10584.415584415585</v>
      </c>
      <c r="W41" s="210">
        <f t="shared" si="37"/>
        <v>10581.896551724138</v>
      </c>
      <c r="X41" s="210">
        <f t="shared" si="37"/>
        <v>10581.896551724138</v>
      </c>
      <c r="Y41" s="210">
        <f t="shared" si="37"/>
        <v>10581.896551724138</v>
      </c>
      <c r="Z41" s="210">
        <f t="shared" si="37"/>
        <v>10579.399141630902</v>
      </c>
      <c r="AA41" s="210">
        <f t="shared" si="37"/>
        <v>10579.399141630902</v>
      </c>
      <c r="AB41" s="210">
        <f t="shared" si="37"/>
        <v>10576.923076923076</v>
      </c>
      <c r="AC41" s="210">
        <f t="shared" si="37"/>
        <v>10576.923076923076</v>
      </c>
      <c r="AD41" s="210">
        <f t="shared" si="37"/>
        <v>10574.468085106382</v>
      </c>
      <c r="AE41" s="210">
        <f t="shared" si="37"/>
        <v>10574.468085106382</v>
      </c>
      <c r="AF41" s="210">
        <f t="shared" si="37"/>
        <v>10572.033898305084</v>
      </c>
      <c r="AG41" s="210">
        <f t="shared" si="37"/>
        <v>10569.620253164558</v>
      </c>
      <c r="AH41" s="210">
        <f t="shared" si="37"/>
        <v>10567.226890756303</v>
      </c>
      <c r="AI41" s="210">
        <f t="shared" si="37"/>
        <v>10567.226890756303</v>
      </c>
      <c r="AJ41" s="210">
        <f t="shared" si="37"/>
        <v>10564.853556485356</v>
      </c>
      <c r="AK41" s="210">
        <f t="shared" si="37"/>
        <v>10562.5</v>
      </c>
      <c r="AL41" s="210">
        <f t="shared" si="37"/>
        <v>10560.165975103735</v>
      </c>
      <c r="AM41" s="210">
        <f t="shared" si="37"/>
        <v>10555.555555555555</v>
      </c>
      <c r="AN41" s="210">
        <f t="shared" si="37"/>
        <v>10553.27868852459</v>
      </c>
      <c r="AO41" s="210">
        <f t="shared" si="37"/>
        <v>10551.020408163266</v>
      </c>
      <c r="AP41" s="210">
        <f t="shared" si="37"/>
        <v>10546.55870445344</v>
      </c>
      <c r="AQ41" s="210">
        <f t="shared" si="37"/>
        <v>10544.354838709678</v>
      </c>
      <c r="AR41" s="210">
        <f t="shared" si="37"/>
        <v>10540</v>
      </c>
      <c r="AS41" s="210">
        <f t="shared" si="37"/>
        <v>10535.714285714286</v>
      </c>
      <c r="AT41" s="210">
        <f t="shared" si="37"/>
        <v>10531.496062992126</v>
      </c>
      <c r="AU41" s="210">
        <f t="shared" si="37"/>
        <v>10527.34375</v>
      </c>
      <c r="AV41" s="210">
        <f t="shared" si="37"/>
        <v>10523.255813953489</v>
      </c>
      <c r="AW41" s="210">
        <f t="shared" si="37"/>
        <v>10517.241379310344</v>
      </c>
      <c r="AX41" s="210">
        <f t="shared" si="37"/>
        <v>10513.307984790874</v>
      </c>
      <c r="AY41" s="210">
        <f t="shared" si="37"/>
        <v>10507.518796992481</v>
      </c>
      <c r="AZ41" s="210">
        <f t="shared" si="37"/>
        <v>10500</v>
      </c>
      <c r="BA41" s="210">
        <f t="shared" si="37"/>
        <v>10494.505494505494</v>
      </c>
      <c r="BB41" s="210">
        <f t="shared" si="37"/>
        <v>10487.364620938628</v>
      </c>
      <c r="BC41" s="210">
        <f t="shared" si="37"/>
        <v>10480.427046263345</v>
      </c>
      <c r="BD41" s="210">
        <f t="shared" si="37"/>
        <v>10473.684210526315</v>
      </c>
      <c r="BE41" s="210">
        <f t="shared" si="37"/>
        <v>10467.128027681661</v>
      </c>
      <c r="BF41" s="210">
        <f t="shared" si="37"/>
        <v>10459.183673469388</v>
      </c>
      <c r="BG41" s="210">
        <f t="shared" si="37"/>
        <v>10450</v>
      </c>
      <c r="BH41" s="210">
        <f t="shared" si="37"/>
        <v>10441.176470588236</v>
      </c>
      <c r="BI41" s="210">
        <f t="shared" si="37"/>
        <v>10432.692307692309</v>
      </c>
      <c r="BJ41" s="428">
        <f t="shared" si="37"/>
        <v>10423.19749216301</v>
      </c>
    </row>
    <row r="42" spans="2:62" s="314" customFormat="1" x14ac:dyDescent="0.2">
      <c r="B42" s="311" t="s">
        <v>86</v>
      </c>
      <c r="C42" s="312"/>
      <c r="D42" s="312"/>
      <c r="E42" s="312"/>
      <c r="F42" s="312">
        <f>F35/F39</f>
        <v>344.95652173913044</v>
      </c>
      <c r="G42" s="313">
        <f t="shared" ref="G42:AL42" si="38">(G35+G40)/G39</f>
        <v>294.22514619883043</v>
      </c>
      <c r="H42" s="313">
        <f t="shared" si="38"/>
        <v>294.22514619883043</v>
      </c>
      <c r="I42" s="313">
        <f t="shared" si="38"/>
        <v>294.15332362930616</v>
      </c>
      <c r="J42" s="313">
        <f t="shared" si="38"/>
        <v>294.15332362930616</v>
      </c>
      <c r="K42" s="313">
        <f t="shared" si="38"/>
        <v>294.15332362930616</v>
      </c>
      <c r="L42" s="313">
        <f t="shared" si="38"/>
        <v>294.15332362930616</v>
      </c>
      <c r="M42" s="313">
        <f t="shared" si="38"/>
        <v>294.15332362930616</v>
      </c>
      <c r="N42" s="313">
        <f t="shared" si="38"/>
        <v>294.15332362930616</v>
      </c>
      <c r="O42" s="313">
        <f t="shared" si="38"/>
        <v>294.15332362930616</v>
      </c>
      <c r="P42" s="313">
        <f t="shared" si="38"/>
        <v>294.08212560386471</v>
      </c>
      <c r="Q42" s="313">
        <f t="shared" si="38"/>
        <v>294.08212560386471</v>
      </c>
      <c r="R42" s="313">
        <f t="shared" si="38"/>
        <v>294.08212560386471</v>
      </c>
      <c r="S42" s="313">
        <f t="shared" si="38"/>
        <v>294.08212560386471</v>
      </c>
      <c r="T42" s="313">
        <f t="shared" si="38"/>
        <v>294.011544011544</v>
      </c>
      <c r="U42" s="313">
        <f t="shared" si="38"/>
        <v>294.011544011544</v>
      </c>
      <c r="V42" s="313">
        <f t="shared" si="38"/>
        <v>294.011544011544</v>
      </c>
      <c r="W42" s="313">
        <f t="shared" si="38"/>
        <v>293.94157088122603</v>
      </c>
      <c r="X42" s="313">
        <f t="shared" si="38"/>
        <v>293.94157088122603</v>
      </c>
      <c r="Y42" s="313">
        <f t="shared" si="38"/>
        <v>293.94157088122603</v>
      </c>
      <c r="Z42" s="313">
        <f t="shared" si="38"/>
        <v>293.87219837863614</v>
      </c>
      <c r="AA42" s="313">
        <f t="shared" si="38"/>
        <v>293.87219837863614</v>
      </c>
      <c r="AB42" s="313">
        <f t="shared" si="38"/>
        <v>293.80341880341877</v>
      </c>
      <c r="AC42" s="313">
        <f t="shared" si="38"/>
        <v>293.80341880341877</v>
      </c>
      <c r="AD42" s="313">
        <f t="shared" si="38"/>
        <v>293.73522458628838</v>
      </c>
      <c r="AE42" s="313">
        <f t="shared" si="38"/>
        <v>293.73522458628838</v>
      </c>
      <c r="AF42" s="313">
        <f t="shared" si="38"/>
        <v>293.66760828625235</v>
      </c>
      <c r="AG42" s="313">
        <f t="shared" si="38"/>
        <v>293.60056258790439</v>
      </c>
      <c r="AH42" s="313">
        <f t="shared" si="38"/>
        <v>293.53408029878619</v>
      </c>
      <c r="AI42" s="313">
        <f t="shared" si="38"/>
        <v>293.53408029878619</v>
      </c>
      <c r="AJ42" s="313">
        <f t="shared" si="38"/>
        <v>293.46815434681542</v>
      </c>
      <c r="AK42" s="313">
        <f t="shared" si="38"/>
        <v>293.40277777777777</v>
      </c>
      <c r="AL42" s="313">
        <f t="shared" si="38"/>
        <v>293.33794375288153</v>
      </c>
      <c r="AM42" s="313">
        <f t="shared" ref="AM42:BJ42" si="39">(AM35+AM40)/AM39</f>
        <v>293.20987654320987</v>
      </c>
      <c r="AN42" s="313">
        <f t="shared" si="39"/>
        <v>293.14663023679418</v>
      </c>
      <c r="AO42" s="313">
        <f t="shared" si="39"/>
        <v>293.08390022675735</v>
      </c>
      <c r="AP42" s="313">
        <f t="shared" si="39"/>
        <v>292.95996401259555</v>
      </c>
      <c r="AQ42" s="313">
        <f t="shared" si="39"/>
        <v>292.89874551971326</v>
      </c>
      <c r="AR42" s="313">
        <f t="shared" si="39"/>
        <v>292.77777777777777</v>
      </c>
      <c r="AS42" s="313">
        <f t="shared" si="39"/>
        <v>292.65873015873018</v>
      </c>
      <c r="AT42" s="313">
        <f t="shared" si="39"/>
        <v>292.54155730533682</v>
      </c>
      <c r="AU42" s="313">
        <f t="shared" si="39"/>
        <v>292.42621527777777</v>
      </c>
      <c r="AV42" s="313">
        <f t="shared" si="39"/>
        <v>292.312661498708</v>
      </c>
      <c r="AW42" s="313">
        <f t="shared" si="39"/>
        <v>292.14559386973178</v>
      </c>
      <c r="AX42" s="313">
        <f t="shared" si="39"/>
        <v>292.0363329108576</v>
      </c>
      <c r="AY42" s="313">
        <f t="shared" si="39"/>
        <v>291.87552213868003</v>
      </c>
      <c r="AZ42" s="313">
        <f t="shared" si="39"/>
        <v>291.66666666666669</v>
      </c>
      <c r="BA42" s="313">
        <f t="shared" si="39"/>
        <v>291.51404151404154</v>
      </c>
      <c r="BB42" s="313">
        <f t="shared" si="39"/>
        <v>291.31568391496188</v>
      </c>
      <c r="BC42" s="313">
        <f t="shared" si="39"/>
        <v>291.12297350731512</v>
      </c>
      <c r="BD42" s="313">
        <f t="shared" si="39"/>
        <v>290.93567251461985</v>
      </c>
      <c r="BE42" s="313">
        <f t="shared" si="39"/>
        <v>290.7535563244906</v>
      </c>
      <c r="BF42" s="313">
        <f t="shared" si="39"/>
        <v>290.5328798185941</v>
      </c>
      <c r="BG42" s="313">
        <f t="shared" si="39"/>
        <v>290.27777777777777</v>
      </c>
      <c r="BH42" s="313">
        <f t="shared" si="39"/>
        <v>290.03267973856214</v>
      </c>
      <c r="BI42" s="313">
        <f t="shared" si="39"/>
        <v>289.79700854700855</v>
      </c>
      <c r="BJ42" s="434">
        <f t="shared" si="39"/>
        <v>289.53326367119473</v>
      </c>
    </row>
    <row r="43" spans="2:62" x14ac:dyDescent="0.2">
      <c r="B43" s="216"/>
      <c r="C43" s="305"/>
      <c r="D43" s="305"/>
      <c r="E43" s="305"/>
      <c r="F43" s="30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435"/>
    </row>
    <row r="44" spans="2:62" x14ac:dyDescent="0.2">
      <c r="B44" s="209" t="s">
        <v>95</v>
      </c>
      <c r="C44" s="306">
        <f>ROUND(C37*InstagramToOneTimeConversion,0)</f>
        <v>0</v>
      </c>
      <c r="D44" s="306">
        <f>ROUND(D37*InstagramToOneTimeConversion,0)</f>
        <v>0</v>
      </c>
      <c r="E44" s="306">
        <f>ROUND(E37*InstagramToOneTimeConversion,0)</f>
        <v>0</v>
      </c>
      <c r="F44" s="306">
        <v>34</v>
      </c>
      <c r="G44" s="217">
        <f t="shared" ref="G44:AL44" si="40">ROUND(G37*InstagramToOneTimeConversion,0)</f>
        <v>25</v>
      </c>
      <c r="H44" s="217">
        <f t="shared" si="40"/>
        <v>25</v>
      </c>
      <c r="I44" s="217">
        <f t="shared" si="40"/>
        <v>25</v>
      </c>
      <c r="J44" s="217">
        <f t="shared" si="40"/>
        <v>25</v>
      </c>
      <c r="K44" s="217">
        <f t="shared" si="40"/>
        <v>25</v>
      </c>
      <c r="L44" s="217">
        <f t="shared" si="40"/>
        <v>25</v>
      </c>
      <c r="M44" s="217">
        <f t="shared" si="40"/>
        <v>25</v>
      </c>
      <c r="N44" s="217">
        <f t="shared" si="40"/>
        <v>25</v>
      </c>
      <c r="O44" s="217">
        <f t="shared" si="40"/>
        <v>25</v>
      </c>
      <c r="P44" s="217">
        <f t="shared" si="40"/>
        <v>25</v>
      </c>
      <c r="Q44" s="217">
        <f t="shared" si="40"/>
        <v>25</v>
      </c>
      <c r="R44" s="217">
        <f t="shared" si="40"/>
        <v>25</v>
      </c>
      <c r="S44" s="217">
        <f t="shared" si="40"/>
        <v>25</v>
      </c>
      <c r="T44" s="217">
        <f t="shared" si="40"/>
        <v>25</v>
      </c>
      <c r="U44" s="217">
        <f t="shared" si="40"/>
        <v>25</v>
      </c>
      <c r="V44" s="217">
        <f t="shared" si="40"/>
        <v>25</v>
      </c>
      <c r="W44" s="217">
        <f t="shared" si="40"/>
        <v>25</v>
      </c>
      <c r="X44" s="217">
        <f t="shared" si="40"/>
        <v>25</v>
      </c>
      <c r="Y44" s="217">
        <f t="shared" si="40"/>
        <v>25</v>
      </c>
      <c r="Z44" s="217">
        <f t="shared" si="40"/>
        <v>25</v>
      </c>
      <c r="AA44" s="217">
        <f t="shared" si="40"/>
        <v>25</v>
      </c>
      <c r="AB44" s="217">
        <f t="shared" si="40"/>
        <v>25</v>
      </c>
      <c r="AC44" s="217">
        <f t="shared" si="40"/>
        <v>25</v>
      </c>
      <c r="AD44" s="217">
        <f t="shared" si="40"/>
        <v>25</v>
      </c>
      <c r="AE44" s="217">
        <f t="shared" si="40"/>
        <v>25</v>
      </c>
      <c r="AF44" s="217">
        <f t="shared" si="40"/>
        <v>25</v>
      </c>
      <c r="AG44" s="217">
        <f t="shared" si="40"/>
        <v>25</v>
      </c>
      <c r="AH44" s="217">
        <f t="shared" si="40"/>
        <v>25</v>
      </c>
      <c r="AI44" s="217">
        <f t="shared" si="40"/>
        <v>25</v>
      </c>
      <c r="AJ44" s="217">
        <f t="shared" si="40"/>
        <v>25</v>
      </c>
      <c r="AK44" s="217">
        <f t="shared" si="40"/>
        <v>25</v>
      </c>
      <c r="AL44" s="217">
        <f t="shared" si="40"/>
        <v>25</v>
      </c>
      <c r="AM44" s="217">
        <f t="shared" ref="AM44:BJ44" si="41">ROUND(AM37*InstagramToOneTimeConversion,0)</f>
        <v>25</v>
      </c>
      <c r="AN44" s="217">
        <f t="shared" si="41"/>
        <v>25</v>
      </c>
      <c r="AO44" s="217">
        <f t="shared" si="41"/>
        <v>25</v>
      </c>
      <c r="AP44" s="217">
        <f t="shared" si="41"/>
        <v>25</v>
      </c>
      <c r="AQ44" s="217">
        <f t="shared" si="41"/>
        <v>25</v>
      </c>
      <c r="AR44" s="217">
        <f t="shared" si="41"/>
        <v>25</v>
      </c>
      <c r="AS44" s="217">
        <f t="shared" si="41"/>
        <v>25</v>
      </c>
      <c r="AT44" s="217">
        <f t="shared" si="41"/>
        <v>25</v>
      </c>
      <c r="AU44" s="217">
        <f t="shared" si="41"/>
        <v>25</v>
      </c>
      <c r="AV44" s="217">
        <f t="shared" si="41"/>
        <v>25</v>
      </c>
      <c r="AW44" s="217">
        <f t="shared" si="41"/>
        <v>25</v>
      </c>
      <c r="AX44" s="217">
        <f t="shared" si="41"/>
        <v>25</v>
      </c>
      <c r="AY44" s="217">
        <f t="shared" si="41"/>
        <v>25</v>
      </c>
      <c r="AZ44" s="217">
        <f t="shared" si="41"/>
        <v>25</v>
      </c>
      <c r="BA44" s="217">
        <f t="shared" si="41"/>
        <v>25</v>
      </c>
      <c r="BB44" s="217">
        <f t="shared" si="41"/>
        <v>25</v>
      </c>
      <c r="BC44" s="217">
        <f t="shared" si="41"/>
        <v>25</v>
      </c>
      <c r="BD44" s="217">
        <f t="shared" si="41"/>
        <v>25</v>
      </c>
      <c r="BE44" s="217">
        <f t="shared" si="41"/>
        <v>25</v>
      </c>
      <c r="BF44" s="217">
        <f t="shared" si="41"/>
        <v>25</v>
      </c>
      <c r="BG44" s="217">
        <f t="shared" si="41"/>
        <v>25</v>
      </c>
      <c r="BH44" s="217">
        <f t="shared" si="41"/>
        <v>25</v>
      </c>
      <c r="BI44" s="217">
        <f t="shared" si="41"/>
        <v>25</v>
      </c>
      <c r="BJ44" s="218">
        <f t="shared" si="41"/>
        <v>25</v>
      </c>
    </row>
    <row r="45" spans="2:62" ht="17" thickBot="1" x14ac:dyDescent="0.25">
      <c r="B45" s="209" t="s">
        <v>96</v>
      </c>
      <c r="C45" s="307"/>
      <c r="D45" s="307"/>
      <c r="E45" s="307"/>
      <c r="F45" s="307">
        <v>28.65</v>
      </c>
      <c r="G45" s="219">
        <f t="shared" ref="G45:AH45" si="42">AverageBasketSizeOneTimePurchases</f>
        <v>27.5</v>
      </c>
      <c r="H45" s="219">
        <f t="shared" si="42"/>
        <v>27.5</v>
      </c>
      <c r="I45" s="219">
        <f t="shared" si="42"/>
        <v>27.5</v>
      </c>
      <c r="J45" s="219">
        <f t="shared" si="42"/>
        <v>27.5</v>
      </c>
      <c r="K45" s="219">
        <f t="shared" si="42"/>
        <v>27.5</v>
      </c>
      <c r="L45" s="219">
        <f t="shared" si="42"/>
        <v>27.5</v>
      </c>
      <c r="M45" s="219">
        <f t="shared" si="42"/>
        <v>27.5</v>
      </c>
      <c r="N45" s="219">
        <f t="shared" si="42"/>
        <v>27.5</v>
      </c>
      <c r="O45" s="219">
        <f t="shared" si="42"/>
        <v>27.5</v>
      </c>
      <c r="P45" s="219">
        <f t="shared" si="42"/>
        <v>27.5</v>
      </c>
      <c r="Q45" s="219">
        <f t="shared" si="42"/>
        <v>27.5</v>
      </c>
      <c r="R45" s="219">
        <f t="shared" si="42"/>
        <v>27.5</v>
      </c>
      <c r="S45" s="219">
        <f t="shared" si="42"/>
        <v>27.5</v>
      </c>
      <c r="T45" s="219">
        <f t="shared" si="42"/>
        <v>27.5</v>
      </c>
      <c r="U45" s="219">
        <f t="shared" si="42"/>
        <v>27.5</v>
      </c>
      <c r="V45" s="219">
        <f t="shared" si="42"/>
        <v>27.5</v>
      </c>
      <c r="W45" s="219">
        <f t="shared" si="42"/>
        <v>27.5</v>
      </c>
      <c r="X45" s="219">
        <f t="shared" si="42"/>
        <v>27.5</v>
      </c>
      <c r="Y45" s="219">
        <f t="shared" si="42"/>
        <v>27.5</v>
      </c>
      <c r="Z45" s="219">
        <f t="shared" si="42"/>
        <v>27.5</v>
      </c>
      <c r="AA45" s="219">
        <f t="shared" si="42"/>
        <v>27.5</v>
      </c>
      <c r="AB45" s="219">
        <f t="shared" si="42"/>
        <v>27.5</v>
      </c>
      <c r="AC45" s="219">
        <f t="shared" si="42"/>
        <v>27.5</v>
      </c>
      <c r="AD45" s="219">
        <f t="shared" si="42"/>
        <v>27.5</v>
      </c>
      <c r="AE45" s="219">
        <f t="shared" si="42"/>
        <v>27.5</v>
      </c>
      <c r="AF45" s="219">
        <f t="shared" si="42"/>
        <v>27.5</v>
      </c>
      <c r="AG45" s="219">
        <f t="shared" si="42"/>
        <v>27.5</v>
      </c>
      <c r="AH45" s="219">
        <f t="shared" si="42"/>
        <v>27.5</v>
      </c>
      <c r="AI45" s="219">
        <f t="shared" ref="AI45:BJ45" si="43">AverageBasketSizeOneTimePurchases</f>
        <v>27.5</v>
      </c>
      <c r="AJ45" s="219">
        <f t="shared" si="43"/>
        <v>27.5</v>
      </c>
      <c r="AK45" s="219">
        <f t="shared" si="43"/>
        <v>27.5</v>
      </c>
      <c r="AL45" s="219">
        <f t="shared" si="43"/>
        <v>27.5</v>
      </c>
      <c r="AM45" s="219">
        <f t="shared" si="43"/>
        <v>27.5</v>
      </c>
      <c r="AN45" s="219">
        <f t="shared" si="43"/>
        <v>27.5</v>
      </c>
      <c r="AO45" s="219">
        <f t="shared" si="43"/>
        <v>27.5</v>
      </c>
      <c r="AP45" s="219">
        <f t="shared" si="43"/>
        <v>27.5</v>
      </c>
      <c r="AQ45" s="219">
        <f t="shared" si="43"/>
        <v>27.5</v>
      </c>
      <c r="AR45" s="219">
        <f t="shared" si="43"/>
        <v>27.5</v>
      </c>
      <c r="AS45" s="219">
        <f t="shared" si="43"/>
        <v>27.5</v>
      </c>
      <c r="AT45" s="219">
        <f t="shared" si="43"/>
        <v>27.5</v>
      </c>
      <c r="AU45" s="219">
        <f t="shared" si="43"/>
        <v>27.5</v>
      </c>
      <c r="AV45" s="219">
        <f t="shared" si="43"/>
        <v>27.5</v>
      </c>
      <c r="AW45" s="219">
        <f t="shared" si="43"/>
        <v>27.5</v>
      </c>
      <c r="AX45" s="219">
        <f t="shared" si="43"/>
        <v>27.5</v>
      </c>
      <c r="AY45" s="219">
        <f t="shared" si="43"/>
        <v>27.5</v>
      </c>
      <c r="AZ45" s="219">
        <f t="shared" si="43"/>
        <v>27.5</v>
      </c>
      <c r="BA45" s="219">
        <f t="shared" si="43"/>
        <v>27.5</v>
      </c>
      <c r="BB45" s="219">
        <f t="shared" si="43"/>
        <v>27.5</v>
      </c>
      <c r="BC45" s="219">
        <f t="shared" si="43"/>
        <v>27.5</v>
      </c>
      <c r="BD45" s="219">
        <f t="shared" si="43"/>
        <v>27.5</v>
      </c>
      <c r="BE45" s="219">
        <f t="shared" si="43"/>
        <v>27.5</v>
      </c>
      <c r="BF45" s="219">
        <f t="shared" si="43"/>
        <v>27.5</v>
      </c>
      <c r="BG45" s="219">
        <f t="shared" si="43"/>
        <v>27.5</v>
      </c>
      <c r="BH45" s="219">
        <f t="shared" si="43"/>
        <v>27.5</v>
      </c>
      <c r="BI45" s="219">
        <f t="shared" si="43"/>
        <v>27.5</v>
      </c>
      <c r="BJ45" s="220">
        <f t="shared" si="43"/>
        <v>27.5</v>
      </c>
    </row>
    <row r="46" spans="2:62" s="1" customFormat="1" ht="17" thickBot="1" x14ac:dyDescent="0.25">
      <c r="B46" s="213" t="s">
        <v>97</v>
      </c>
      <c r="C46" s="308">
        <f>C45*C44</f>
        <v>0</v>
      </c>
      <c r="D46" s="308">
        <f t="shared" ref="D46:BJ46" si="44">D45*D44</f>
        <v>0</v>
      </c>
      <c r="E46" s="308">
        <f t="shared" si="44"/>
        <v>0</v>
      </c>
      <c r="F46" s="308">
        <f t="shared" si="44"/>
        <v>974.09999999999991</v>
      </c>
      <c r="G46" s="221">
        <f t="shared" si="44"/>
        <v>687.5</v>
      </c>
      <c r="H46" s="221">
        <f t="shared" si="44"/>
        <v>687.5</v>
      </c>
      <c r="I46" s="221">
        <f t="shared" si="44"/>
        <v>687.5</v>
      </c>
      <c r="J46" s="221">
        <f t="shared" si="44"/>
        <v>687.5</v>
      </c>
      <c r="K46" s="221">
        <f t="shared" si="44"/>
        <v>687.5</v>
      </c>
      <c r="L46" s="221">
        <f t="shared" si="44"/>
        <v>687.5</v>
      </c>
      <c r="M46" s="221">
        <f t="shared" si="44"/>
        <v>687.5</v>
      </c>
      <c r="N46" s="221">
        <f t="shared" si="44"/>
        <v>687.5</v>
      </c>
      <c r="O46" s="221">
        <f t="shared" si="44"/>
        <v>687.5</v>
      </c>
      <c r="P46" s="221">
        <f t="shared" si="44"/>
        <v>687.5</v>
      </c>
      <c r="Q46" s="221">
        <f t="shared" si="44"/>
        <v>687.5</v>
      </c>
      <c r="R46" s="221">
        <f t="shared" si="44"/>
        <v>687.5</v>
      </c>
      <c r="S46" s="221">
        <f t="shared" si="44"/>
        <v>687.5</v>
      </c>
      <c r="T46" s="221">
        <f t="shared" si="44"/>
        <v>687.5</v>
      </c>
      <c r="U46" s="221">
        <f t="shared" si="44"/>
        <v>687.5</v>
      </c>
      <c r="V46" s="221">
        <f t="shared" si="44"/>
        <v>687.5</v>
      </c>
      <c r="W46" s="221">
        <f t="shared" si="44"/>
        <v>687.5</v>
      </c>
      <c r="X46" s="221">
        <f t="shared" si="44"/>
        <v>687.5</v>
      </c>
      <c r="Y46" s="221">
        <f t="shared" si="44"/>
        <v>687.5</v>
      </c>
      <c r="Z46" s="221">
        <f t="shared" si="44"/>
        <v>687.5</v>
      </c>
      <c r="AA46" s="221">
        <f t="shared" si="44"/>
        <v>687.5</v>
      </c>
      <c r="AB46" s="221">
        <f t="shared" si="44"/>
        <v>687.5</v>
      </c>
      <c r="AC46" s="221">
        <f t="shared" si="44"/>
        <v>687.5</v>
      </c>
      <c r="AD46" s="221">
        <f t="shared" si="44"/>
        <v>687.5</v>
      </c>
      <c r="AE46" s="221">
        <f t="shared" si="44"/>
        <v>687.5</v>
      </c>
      <c r="AF46" s="221">
        <f t="shared" si="44"/>
        <v>687.5</v>
      </c>
      <c r="AG46" s="221">
        <f t="shared" si="44"/>
        <v>687.5</v>
      </c>
      <c r="AH46" s="221">
        <f t="shared" si="44"/>
        <v>687.5</v>
      </c>
      <c r="AI46" s="221">
        <f t="shared" si="44"/>
        <v>687.5</v>
      </c>
      <c r="AJ46" s="221">
        <f t="shared" si="44"/>
        <v>687.5</v>
      </c>
      <c r="AK46" s="221">
        <f t="shared" si="44"/>
        <v>687.5</v>
      </c>
      <c r="AL46" s="221">
        <f t="shared" si="44"/>
        <v>687.5</v>
      </c>
      <c r="AM46" s="221">
        <f t="shared" si="44"/>
        <v>687.5</v>
      </c>
      <c r="AN46" s="221">
        <f t="shared" si="44"/>
        <v>687.5</v>
      </c>
      <c r="AO46" s="221">
        <f t="shared" si="44"/>
        <v>687.5</v>
      </c>
      <c r="AP46" s="221">
        <f t="shared" si="44"/>
        <v>687.5</v>
      </c>
      <c r="AQ46" s="221">
        <f t="shared" si="44"/>
        <v>687.5</v>
      </c>
      <c r="AR46" s="221">
        <f t="shared" si="44"/>
        <v>687.5</v>
      </c>
      <c r="AS46" s="221">
        <f t="shared" si="44"/>
        <v>687.5</v>
      </c>
      <c r="AT46" s="221">
        <f t="shared" si="44"/>
        <v>687.5</v>
      </c>
      <c r="AU46" s="221">
        <f t="shared" si="44"/>
        <v>687.5</v>
      </c>
      <c r="AV46" s="221">
        <f t="shared" si="44"/>
        <v>687.5</v>
      </c>
      <c r="AW46" s="221">
        <f t="shared" si="44"/>
        <v>687.5</v>
      </c>
      <c r="AX46" s="221">
        <f t="shared" si="44"/>
        <v>687.5</v>
      </c>
      <c r="AY46" s="221">
        <f t="shared" si="44"/>
        <v>687.5</v>
      </c>
      <c r="AZ46" s="221">
        <f t="shared" si="44"/>
        <v>687.5</v>
      </c>
      <c r="BA46" s="221">
        <f t="shared" si="44"/>
        <v>687.5</v>
      </c>
      <c r="BB46" s="221">
        <f t="shared" si="44"/>
        <v>687.5</v>
      </c>
      <c r="BC46" s="221">
        <f t="shared" si="44"/>
        <v>687.5</v>
      </c>
      <c r="BD46" s="221">
        <f t="shared" si="44"/>
        <v>687.5</v>
      </c>
      <c r="BE46" s="221">
        <f t="shared" si="44"/>
        <v>687.5</v>
      </c>
      <c r="BF46" s="221">
        <f t="shared" si="44"/>
        <v>687.5</v>
      </c>
      <c r="BG46" s="221">
        <f t="shared" si="44"/>
        <v>687.5</v>
      </c>
      <c r="BH46" s="221">
        <f t="shared" si="44"/>
        <v>687.5</v>
      </c>
      <c r="BI46" s="221">
        <f t="shared" si="44"/>
        <v>687.5</v>
      </c>
      <c r="BJ46" s="222">
        <f t="shared" si="44"/>
        <v>687.5</v>
      </c>
    </row>
    <row r="47" spans="2:62" x14ac:dyDescent="0.2">
      <c r="B47" s="2"/>
      <c r="C47" s="275"/>
      <c r="D47" s="275"/>
      <c r="E47" s="275"/>
      <c r="F47" s="275"/>
      <c r="BJ47" s="3"/>
    </row>
    <row r="48" spans="2:62" x14ac:dyDescent="0.2">
      <c r="B48" s="223" t="s">
        <v>70</v>
      </c>
      <c r="C48" s="275"/>
      <c r="D48" s="275"/>
      <c r="E48" s="275"/>
      <c r="F48" s="275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5"/>
    </row>
    <row r="49" spans="2:63" x14ac:dyDescent="0.2">
      <c r="B49" s="226" t="s">
        <v>66</v>
      </c>
      <c r="C49" s="292"/>
      <c r="D49" s="309"/>
      <c r="E49" s="309"/>
      <c r="F49" s="309">
        <v>137</v>
      </c>
      <c r="G49" s="227">
        <f t="shared" ref="G49:AI49" si="45">F49*(1+OrganicMonthlyGrowthRate)</f>
        <v>147.96</v>
      </c>
      <c r="H49" s="227">
        <f t="shared" si="45"/>
        <v>159.79680000000002</v>
      </c>
      <c r="I49" s="227">
        <f t="shared" si="45"/>
        <v>172.58054400000003</v>
      </c>
      <c r="J49" s="227">
        <f t="shared" si="45"/>
        <v>186.38698752000005</v>
      </c>
      <c r="K49" s="227">
        <f t="shared" si="45"/>
        <v>201.29794652160007</v>
      </c>
      <c r="L49" s="227">
        <f t="shared" si="45"/>
        <v>217.40178224332809</v>
      </c>
      <c r="M49" s="227">
        <f t="shared" si="45"/>
        <v>234.79392482279434</v>
      </c>
      <c r="N49" s="227">
        <f t="shared" si="45"/>
        <v>253.5774388086179</v>
      </c>
      <c r="O49" s="227">
        <f t="shared" si="45"/>
        <v>273.86363391330735</v>
      </c>
      <c r="P49" s="227">
        <f t="shared" si="45"/>
        <v>295.77272462637194</v>
      </c>
      <c r="Q49" s="227">
        <f t="shared" si="45"/>
        <v>319.43454259648172</v>
      </c>
      <c r="R49" s="227">
        <f t="shared" si="45"/>
        <v>344.98930600420027</v>
      </c>
      <c r="S49" s="227">
        <f t="shared" si="45"/>
        <v>372.58845048453634</v>
      </c>
      <c r="T49" s="227">
        <f t="shared" si="45"/>
        <v>402.39552652329928</v>
      </c>
      <c r="U49" s="227">
        <f t="shared" si="45"/>
        <v>434.58716864516327</v>
      </c>
      <c r="V49" s="227">
        <f t="shared" si="45"/>
        <v>469.35414213677637</v>
      </c>
      <c r="W49" s="227">
        <f t="shared" si="45"/>
        <v>506.90247350771853</v>
      </c>
      <c r="X49" s="227">
        <f t="shared" si="45"/>
        <v>547.45467138833601</v>
      </c>
      <c r="Y49" s="227">
        <f t="shared" si="45"/>
        <v>591.25104509940297</v>
      </c>
      <c r="Z49" s="227">
        <f t="shared" si="45"/>
        <v>638.55112870735525</v>
      </c>
      <c r="AA49" s="227">
        <f t="shared" si="45"/>
        <v>689.63521900394369</v>
      </c>
      <c r="AB49" s="227">
        <f t="shared" si="45"/>
        <v>744.80603652425918</v>
      </c>
      <c r="AC49" s="227">
        <f t="shared" si="45"/>
        <v>804.39051944619996</v>
      </c>
      <c r="AD49" s="227">
        <f t="shared" si="45"/>
        <v>868.74176100189607</v>
      </c>
      <c r="AE49" s="227">
        <f t="shared" si="45"/>
        <v>938.24110188204781</v>
      </c>
      <c r="AF49" s="227">
        <f t="shared" si="45"/>
        <v>1013.3003900326117</v>
      </c>
      <c r="AG49" s="227">
        <f t="shared" si="45"/>
        <v>1094.3644212352208</v>
      </c>
      <c r="AH49" s="227">
        <f t="shared" si="45"/>
        <v>1181.9135749340385</v>
      </c>
      <c r="AI49" s="227">
        <f t="shared" si="45"/>
        <v>1276.4666609287617</v>
      </c>
      <c r="AJ49" s="227">
        <f t="shared" ref="AJ49:BJ49" si="46">AI49*(1+OrganicMonthlyGrowthRate)</f>
        <v>1378.5839938030626</v>
      </c>
      <c r="AK49" s="227">
        <f t="shared" si="46"/>
        <v>1488.8707133073078</v>
      </c>
      <c r="AL49" s="227">
        <f t="shared" si="46"/>
        <v>1607.9803703718926</v>
      </c>
      <c r="AM49" s="227">
        <f t="shared" si="46"/>
        <v>1736.6188000016441</v>
      </c>
      <c r="AN49" s="227">
        <f t="shared" si="46"/>
        <v>1875.5483040017757</v>
      </c>
      <c r="AO49" s="227">
        <f t="shared" si="46"/>
        <v>2025.5921683219178</v>
      </c>
      <c r="AP49" s="227">
        <f t="shared" si="46"/>
        <v>2187.6395417876715</v>
      </c>
      <c r="AQ49" s="227">
        <f t="shared" si="46"/>
        <v>2362.6507051306853</v>
      </c>
      <c r="AR49" s="227">
        <f t="shared" si="46"/>
        <v>2551.6627615411403</v>
      </c>
      <c r="AS49" s="227">
        <f t="shared" si="46"/>
        <v>2755.7957824644318</v>
      </c>
      <c r="AT49" s="227">
        <f t="shared" si="46"/>
        <v>2976.2594450615866</v>
      </c>
      <c r="AU49" s="227">
        <f t="shared" si="46"/>
        <v>3214.3602006665137</v>
      </c>
      <c r="AV49" s="227">
        <f t="shared" si="46"/>
        <v>3471.509016719835</v>
      </c>
      <c r="AW49" s="227">
        <f t="shared" si="46"/>
        <v>3749.2297380574219</v>
      </c>
      <c r="AX49" s="227">
        <f t="shared" si="46"/>
        <v>4049.1681171020159</v>
      </c>
      <c r="AY49" s="227">
        <f t="shared" si="46"/>
        <v>4373.1015664701772</v>
      </c>
      <c r="AZ49" s="227">
        <f t="shared" si="46"/>
        <v>4722.9496917877914</v>
      </c>
      <c r="BA49" s="227">
        <f t="shared" si="46"/>
        <v>5100.7856671308155</v>
      </c>
      <c r="BB49" s="227">
        <f t="shared" si="46"/>
        <v>5508.8485205012812</v>
      </c>
      <c r="BC49" s="227">
        <f t="shared" si="46"/>
        <v>5949.5564021413838</v>
      </c>
      <c r="BD49" s="227">
        <f t="shared" si="46"/>
        <v>6425.5209143126949</v>
      </c>
      <c r="BE49" s="227">
        <f t="shared" si="46"/>
        <v>6939.5625874577108</v>
      </c>
      <c r="BF49" s="227">
        <f t="shared" si="46"/>
        <v>7494.727594454328</v>
      </c>
      <c r="BG49" s="227">
        <f t="shared" si="46"/>
        <v>8094.3058020106746</v>
      </c>
      <c r="BH49" s="227">
        <f t="shared" si="46"/>
        <v>8741.8502661715283</v>
      </c>
      <c r="BI49" s="227">
        <f t="shared" si="46"/>
        <v>9441.1982874652513</v>
      </c>
      <c r="BJ49" s="228">
        <f t="shared" si="46"/>
        <v>10196.494150462471</v>
      </c>
    </row>
    <row r="50" spans="2:63" ht="17" thickBot="1" x14ac:dyDescent="0.25">
      <c r="B50" s="226" t="s">
        <v>67</v>
      </c>
      <c r="C50" s="294"/>
      <c r="D50" s="294"/>
      <c r="E50" s="294"/>
      <c r="F50" s="294">
        <v>8.6999999999999994E-3</v>
      </c>
      <c r="G50" s="229">
        <f t="shared" ref="G50:AH50" si="47">OrganicToSubConversion</f>
        <v>8.9999999999999993E-3</v>
      </c>
      <c r="H50" s="229">
        <f t="shared" si="47"/>
        <v>8.9999999999999993E-3</v>
      </c>
      <c r="I50" s="229">
        <f t="shared" si="47"/>
        <v>8.9999999999999993E-3</v>
      </c>
      <c r="J50" s="229">
        <f t="shared" si="47"/>
        <v>8.9999999999999993E-3</v>
      </c>
      <c r="K50" s="229">
        <f t="shared" si="47"/>
        <v>8.9999999999999993E-3</v>
      </c>
      <c r="L50" s="229">
        <f t="shared" si="47"/>
        <v>8.9999999999999993E-3</v>
      </c>
      <c r="M50" s="229">
        <f t="shared" si="47"/>
        <v>8.9999999999999993E-3</v>
      </c>
      <c r="N50" s="229">
        <f t="shared" si="47"/>
        <v>8.9999999999999993E-3</v>
      </c>
      <c r="O50" s="229">
        <f t="shared" si="47"/>
        <v>8.9999999999999993E-3</v>
      </c>
      <c r="P50" s="229">
        <f t="shared" si="47"/>
        <v>8.9999999999999993E-3</v>
      </c>
      <c r="Q50" s="229">
        <f t="shared" si="47"/>
        <v>8.9999999999999993E-3</v>
      </c>
      <c r="R50" s="229">
        <f t="shared" si="47"/>
        <v>8.9999999999999993E-3</v>
      </c>
      <c r="S50" s="229">
        <f t="shared" si="47"/>
        <v>8.9999999999999993E-3</v>
      </c>
      <c r="T50" s="229">
        <f t="shared" si="47"/>
        <v>8.9999999999999993E-3</v>
      </c>
      <c r="U50" s="229">
        <f t="shared" si="47"/>
        <v>8.9999999999999993E-3</v>
      </c>
      <c r="V50" s="229">
        <f t="shared" si="47"/>
        <v>8.9999999999999993E-3</v>
      </c>
      <c r="W50" s="229">
        <f t="shared" si="47"/>
        <v>8.9999999999999993E-3</v>
      </c>
      <c r="X50" s="229">
        <f t="shared" si="47"/>
        <v>8.9999999999999993E-3</v>
      </c>
      <c r="Y50" s="229">
        <f t="shared" si="47"/>
        <v>8.9999999999999993E-3</v>
      </c>
      <c r="Z50" s="229">
        <f t="shared" si="47"/>
        <v>8.9999999999999993E-3</v>
      </c>
      <c r="AA50" s="229">
        <f t="shared" si="47"/>
        <v>8.9999999999999993E-3</v>
      </c>
      <c r="AB50" s="229">
        <f t="shared" si="47"/>
        <v>8.9999999999999993E-3</v>
      </c>
      <c r="AC50" s="229">
        <f t="shared" si="47"/>
        <v>8.9999999999999993E-3</v>
      </c>
      <c r="AD50" s="229">
        <f t="shared" si="47"/>
        <v>8.9999999999999993E-3</v>
      </c>
      <c r="AE50" s="229">
        <f t="shared" si="47"/>
        <v>8.9999999999999993E-3</v>
      </c>
      <c r="AF50" s="229">
        <f t="shared" si="47"/>
        <v>8.9999999999999993E-3</v>
      </c>
      <c r="AG50" s="229">
        <f t="shared" si="47"/>
        <v>8.9999999999999993E-3</v>
      </c>
      <c r="AH50" s="229">
        <f t="shared" si="47"/>
        <v>8.9999999999999993E-3</v>
      </c>
      <c r="AI50" s="229">
        <f t="shared" ref="AI50:BJ50" si="48">OrganicToSubConversion</f>
        <v>8.9999999999999993E-3</v>
      </c>
      <c r="AJ50" s="229">
        <f t="shared" si="48"/>
        <v>8.9999999999999993E-3</v>
      </c>
      <c r="AK50" s="229">
        <f t="shared" si="48"/>
        <v>8.9999999999999993E-3</v>
      </c>
      <c r="AL50" s="229">
        <f t="shared" si="48"/>
        <v>8.9999999999999993E-3</v>
      </c>
      <c r="AM50" s="229">
        <f t="shared" si="48"/>
        <v>8.9999999999999993E-3</v>
      </c>
      <c r="AN50" s="229">
        <f t="shared" si="48"/>
        <v>8.9999999999999993E-3</v>
      </c>
      <c r="AO50" s="229">
        <f t="shared" si="48"/>
        <v>8.9999999999999993E-3</v>
      </c>
      <c r="AP50" s="229">
        <f t="shared" si="48"/>
        <v>8.9999999999999993E-3</v>
      </c>
      <c r="AQ50" s="229">
        <f t="shared" si="48"/>
        <v>8.9999999999999993E-3</v>
      </c>
      <c r="AR50" s="229">
        <f t="shared" si="48"/>
        <v>8.9999999999999993E-3</v>
      </c>
      <c r="AS50" s="229">
        <f t="shared" si="48"/>
        <v>8.9999999999999993E-3</v>
      </c>
      <c r="AT50" s="229">
        <f t="shared" si="48"/>
        <v>8.9999999999999993E-3</v>
      </c>
      <c r="AU50" s="229">
        <f t="shared" si="48"/>
        <v>8.9999999999999993E-3</v>
      </c>
      <c r="AV50" s="229">
        <f t="shared" si="48"/>
        <v>8.9999999999999993E-3</v>
      </c>
      <c r="AW50" s="229">
        <f t="shared" si="48"/>
        <v>8.9999999999999993E-3</v>
      </c>
      <c r="AX50" s="229">
        <f t="shared" si="48"/>
        <v>8.9999999999999993E-3</v>
      </c>
      <c r="AY50" s="229">
        <f t="shared" si="48"/>
        <v>8.9999999999999993E-3</v>
      </c>
      <c r="AZ50" s="229">
        <f t="shared" si="48"/>
        <v>8.9999999999999993E-3</v>
      </c>
      <c r="BA50" s="229">
        <f t="shared" si="48"/>
        <v>8.9999999999999993E-3</v>
      </c>
      <c r="BB50" s="229">
        <f t="shared" si="48"/>
        <v>8.9999999999999993E-3</v>
      </c>
      <c r="BC50" s="229">
        <f t="shared" si="48"/>
        <v>8.9999999999999993E-3</v>
      </c>
      <c r="BD50" s="229">
        <f t="shared" si="48"/>
        <v>8.9999999999999993E-3</v>
      </c>
      <c r="BE50" s="229">
        <f t="shared" si="48"/>
        <v>8.9999999999999993E-3</v>
      </c>
      <c r="BF50" s="229">
        <f t="shared" si="48"/>
        <v>8.9999999999999993E-3</v>
      </c>
      <c r="BG50" s="229">
        <f t="shared" si="48"/>
        <v>8.9999999999999993E-3</v>
      </c>
      <c r="BH50" s="229">
        <f t="shared" si="48"/>
        <v>8.9999999999999993E-3</v>
      </c>
      <c r="BI50" s="229">
        <f t="shared" si="48"/>
        <v>8.9999999999999993E-3</v>
      </c>
      <c r="BJ50" s="230">
        <f t="shared" si="48"/>
        <v>8.9999999999999993E-3</v>
      </c>
    </row>
    <row r="51" spans="2:63" s="28" customFormat="1" ht="17" thickBot="1" x14ac:dyDescent="0.25">
      <c r="B51" s="231" t="s">
        <v>58</v>
      </c>
      <c r="C51" s="298">
        <f t="shared" ref="C51:AH51" si="49">ROUND(C49*C50,0)</f>
        <v>0</v>
      </c>
      <c r="D51" s="298">
        <f t="shared" si="49"/>
        <v>0</v>
      </c>
      <c r="E51" s="298">
        <f t="shared" si="49"/>
        <v>0</v>
      </c>
      <c r="F51" s="298">
        <f t="shared" si="49"/>
        <v>1</v>
      </c>
      <c r="G51" s="232">
        <f t="shared" si="49"/>
        <v>1</v>
      </c>
      <c r="H51" s="232">
        <f t="shared" si="49"/>
        <v>1</v>
      </c>
      <c r="I51" s="232">
        <f t="shared" si="49"/>
        <v>2</v>
      </c>
      <c r="J51" s="232">
        <f t="shared" si="49"/>
        <v>2</v>
      </c>
      <c r="K51" s="232">
        <f t="shared" si="49"/>
        <v>2</v>
      </c>
      <c r="L51" s="232">
        <f t="shared" si="49"/>
        <v>2</v>
      </c>
      <c r="M51" s="232">
        <f t="shared" si="49"/>
        <v>2</v>
      </c>
      <c r="N51" s="232">
        <f t="shared" si="49"/>
        <v>2</v>
      </c>
      <c r="O51" s="232">
        <f t="shared" si="49"/>
        <v>2</v>
      </c>
      <c r="P51" s="232">
        <f t="shared" si="49"/>
        <v>3</v>
      </c>
      <c r="Q51" s="232">
        <f t="shared" si="49"/>
        <v>3</v>
      </c>
      <c r="R51" s="232">
        <f t="shared" si="49"/>
        <v>3</v>
      </c>
      <c r="S51" s="232">
        <f t="shared" si="49"/>
        <v>3</v>
      </c>
      <c r="T51" s="232">
        <f t="shared" si="49"/>
        <v>4</v>
      </c>
      <c r="U51" s="232">
        <f t="shared" si="49"/>
        <v>4</v>
      </c>
      <c r="V51" s="232">
        <f t="shared" si="49"/>
        <v>4</v>
      </c>
      <c r="W51" s="232">
        <f t="shared" si="49"/>
        <v>5</v>
      </c>
      <c r="X51" s="232">
        <f t="shared" si="49"/>
        <v>5</v>
      </c>
      <c r="Y51" s="232">
        <f t="shared" si="49"/>
        <v>5</v>
      </c>
      <c r="Z51" s="232">
        <f t="shared" si="49"/>
        <v>6</v>
      </c>
      <c r="AA51" s="232">
        <f t="shared" si="49"/>
        <v>6</v>
      </c>
      <c r="AB51" s="232">
        <f t="shared" si="49"/>
        <v>7</v>
      </c>
      <c r="AC51" s="232">
        <f t="shared" si="49"/>
        <v>7</v>
      </c>
      <c r="AD51" s="232">
        <f t="shared" si="49"/>
        <v>8</v>
      </c>
      <c r="AE51" s="232">
        <f t="shared" si="49"/>
        <v>8</v>
      </c>
      <c r="AF51" s="232">
        <f t="shared" si="49"/>
        <v>9</v>
      </c>
      <c r="AG51" s="232">
        <f t="shared" si="49"/>
        <v>10</v>
      </c>
      <c r="AH51" s="232">
        <f t="shared" si="49"/>
        <v>11</v>
      </c>
      <c r="AI51" s="232">
        <f t="shared" ref="AI51:BJ51" si="50">ROUND(AI49*AI50,0)</f>
        <v>11</v>
      </c>
      <c r="AJ51" s="232">
        <f t="shared" si="50"/>
        <v>12</v>
      </c>
      <c r="AK51" s="232">
        <f t="shared" si="50"/>
        <v>13</v>
      </c>
      <c r="AL51" s="232">
        <f t="shared" si="50"/>
        <v>14</v>
      </c>
      <c r="AM51" s="232">
        <f t="shared" si="50"/>
        <v>16</v>
      </c>
      <c r="AN51" s="232">
        <f t="shared" si="50"/>
        <v>17</v>
      </c>
      <c r="AO51" s="232">
        <f t="shared" si="50"/>
        <v>18</v>
      </c>
      <c r="AP51" s="232">
        <f t="shared" si="50"/>
        <v>20</v>
      </c>
      <c r="AQ51" s="232">
        <f t="shared" si="50"/>
        <v>21</v>
      </c>
      <c r="AR51" s="232">
        <f t="shared" si="50"/>
        <v>23</v>
      </c>
      <c r="AS51" s="232">
        <f t="shared" si="50"/>
        <v>25</v>
      </c>
      <c r="AT51" s="232">
        <f t="shared" si="50"/>
        <v>27</v>
      </c>
      <c r="AU51" s="232">
        <f t="shared" si="50"/>
        <v>29</v>
      </c>
      <c r="AV51" s="232">
        <f t="shared" si="50"/>
        <v>31</v>
      </c>
      <c r="AW51" s="232">
        <f t="shared" si="50"/>
        <v>34</v>
      </c>
      <c r="AX51" s="232">
        <f t="shared" si="50"/>
        <v>36</v>
      </c>
      <c r="AY51" s="232">
        <f t="shared" si="50"/>
        <v>39</v>
      </c>
      <c r="AZ51" s="232">
        <f t="shared" si="50"/>
        <v>43</v>
      </c>
      <c r="BA51" s="232">
        <f t="shared" si="50"/>
        <v>46</v>
      </c>
      <c r="BB51" s="232">
        <f t="shared" si="50"/>
        <v>50</v>
      </c>
      <c r="BC51" s="232">
        <f t="shared" si="50"/>
        <v>54</v>
      </c>
      <c r="BD51" s="232">
        <f t="shared" si="50"/>
        <v>58</v>
      </c>
      <c r="BE51" s="232">
        <f t="shared" si="50"/>
        <v>62</v>
      </c>
      <c r="BF51" s="232">
        <f t="shared" si="50"/>
        <v>67</v>
      </c>
      <c r="BG51" s="232">
        <f t="shared" si="50"/>
        <v>73</v>
      </c>
      <c r="BH51" s="232">
        <f t="shared" si="50"/>
        <v>79</v>
      </c>
      <c r="BI51" s="232">
        <f t="shared" si="50"/>
        <v>85</v>
      </c>
      <c r="BJ51" s="233">
        <f t="shared" si="50"/>
        <v>92</v>
      </c>
    </row>
    <row r="52" spans="2:63" s="17" customFormat="1" x14ac:dyDescent="0.2">
      <c r="B52" s="438" t="s">
        <v>208</v>
      </c>
      <c r="C52" s="269"/>
      <c r="D52" s="439"/>
      <c r="E52" s="439"/>
      <c r="F52" s="269">
        <f>F51/F$60*'Income Statement - Monthly'!G$26</f>
        <v>32.608695652173914</v>
      </c>
      <c r="G52" s="440">
        <f>G51/G$60*'Income Statement - Monthly'!H$26</f>
        <v>16.44736842105263</v>
      </c>
      <c r="H52" s="440">
        <f>H51/H$60*'Income Statement - Monthly'!I$26</f>
        <v>16.44736842105263</v>
      </c>
      <c r="I52" s="440">
        <f>I51/I$60*'Income Statement - Monthly'!J$26</f>
        <v>32.751091703056765</v>
      </c>
      <c r="J52" s="440">
        <f>J51/J$60*'Income Statement - Monthly'!K$26</f>
        <v>32.751091703056765</v>
      </c>
      <c r="K52" s="440">
        <f>K51/K$60*'Income Statement - Monthly'!L$26</f>
        <v>32.751091703056765</v>
      </c>
      <c r="L52" s="440">
        <f>L51/L$60*'Income Statement - Monthly'!M$26</f>
        <v>32.751091703056765</v>
      </c>
      <c r="M52" s="440">
        <f>M51/M$60*'Income Statement - Monthly'!N$26</f>
        <v>32.751091703056765</v>
      </c>
      <c r="N52" s="440">
        <f>N51/N$60*'Income Statement - Monthly'!O$26</f>
        <v>32.751091703056765</v>
      </c>
      <c r="O52" s="440">
        <f>O51/O$60*'Income Statement - Monthly'!P$26</f>
        <v>32.751091703056765</v>
      </c>
      <c r="P52" s="440">
        <f>P51/P$60*'Income Statement - Monthly'!Q$26</f>
        <v>48.913043478260867</v>
      </c>
      <c r="Q52" s="440">
        <f>Q51/Q$60*'Income Statement - Monthly'!R$26</f>
        <v>48.913043478260867</v>
      </c>
      <c r="R52" s="440">
        <f>R51/R$60*'Income Statement - Monthly'!S$26</f>
        <v>48.913043478260867</v>
      </c>
      <c r="S52" s="440">
        <f>S51/S$60*'Income Statement - Monthly'!T$26</f>
        <v>48.913043478260867</v>
      </c>
      <c r="T52" s="440">
        <f>T51/T$60*'Income Statement - Monthly'!U$26</f>
        <v>64.935064935064929</v>
      </c>
      <c r="U52" s="440">
        <f>U51/U$60*'Income Statement - Monthly'!V$26</f>
        <v>64.935064935064929</v>
      </c>
      <c r="V52" s="440">
        <f>V51/V$60*'Income Statement - Monthly'!W$26</f>
        <v>64.935064935064929</v>
      </c>
      <c r="W52" s="440">
        <f>W51/W$60*'Income Statement - Monthly'!X$26</f>
        <v>80.818965517241381</v>
      </c>
      <c r="X52" s="440">
        <f>X51/X$60*'Income Statement - Monthly'!Y$26</f>
        <v>80.818965517241381</v>
      </c>
      <c r="Y52" s="440">
        <f>Y51/Y$60*'Income Statement - Monthly'!Z$26</f>
        <v>80.818965517241381</v>
      </c>
      <c r="Z52" s="440">
        <f>Z51/Z$60*'Income Statement - Monthly'!AA$26</f>
        <v>96.566523605150209</v>
      </c>
      <c r="AA52" s="440">
        <f>AA51/AA$60*'Income Statement - Monthly'!AB$26</f>
        <v>96.566523605150209</v>
      </c>
      <c r="AB52" s="440">
        <f>AB51/AB$60*'Income Statement - Monthly'!AC$26</f>
        <v>112.17948717948718</v>
      </c>
      <c r="AC52" s="440">
        <f>AC51/AC$60*'Income Statement - Monthly'!AD$26</f>
        <v>112.17948717948718</v>
      </c>
      <c r="AD52" s="440">
        <f>AD51/AD$60*'Income Statement - Monthly'!AE$26</f>
        <v>127.65957446808511</v>
      </c>
      <c r="AE52" s="440">
        <f>AE51/AE$60*'Income Statement - Monthly'!AF$26</f>
        <v>127.65957446808511</v>
      </c>
      <c r="AF52" s="440">
        <f>AF51/AF$60*'Income Statement - Monthly'!AG$26</f>
        <v>143.0084745762712</v>
      </c>
      <c r="AG52" s="440">
        <f>AG51/AG$60*'Income Statement - Monthly'!AH$26</f>
        <v>158.22784810126581</v>
      </c>
      <c r="AH52" s="440">
        <f>AH51/AH$60*'Income Statement - Monthly'!AI$26</f>
        <v>173.31932773109244</v>
      </c>
      <c r="AI52" s="440">
        <f>AI51/AI$60*'Income Statement - Monthly'!AJ$26</f>
        <v>173.31932773109244</v>
      </c>
      <c r="AJ52" s="440">
        <f>AJ51/AJ$60*'Income Statement - Monthly'!AK$26</f>
        <v>188.28451882845187</v>
      </c>
      <c r="AK52" s="440">
        <f>AK51/AK$60*'Income Statement - Monthly'!AL$26</f>
        <v>203.125</v>
      </c>
      <c r="AL52" s="440">
        <f>AL51/AL$60*'Income Statement - Monthly'!AM$26</f>
        <v>217.84232365145229</v>
      </c>
      <c r="AM52" s="440">
        <f>AM51/AM$60*'Income Statement - Monthly'!AN$26</f>
        <v>246.9135802469136</v>
      </c>
      <c r="AN52" s="440">
        <f>AN51/AN$60*'Income Statement - Monthly'!AO$26</f>
        <v>261.27049180327867</v>
      </c>
      <c r="AO52" s="440">
        <f>AO51/AO$60*'Income Statement - Monthly'!AP$26</f>
        <v>275.51020408163265</v>
      </c>
      <c r="AP52" s="440">
        <f>AP51/AP$60*'Income Statement - Monthly'!AQ$26</f>
        <v>303.64372469635629</v>
      </c>
      <c r="AQ52" s="440">
        <f>AQ51/AQ$60*'Income Statement - Monthly'!AR$26</f>
        <v>317.54032258064512</v>
      </c>
      <c r="AR52" s="440">
        <f>AR51/AR$60*'Income Statement - Monthly'!AS$26</f>
        <v>345</v>
      </c>
      <c r="AS52" s="440">
        <f>AS51/AS$60*'Income Statement - Monthly'!AT$26</f>
        <v>372.02380952380952</v>
      </c>
      <c r="AT52" s="440">
        <f>AT51/AT$60*'Income Statement - Monthly'!AU$26</f>
        <v>398.62204724409452</v>
      </c>
      <c r="AU52" s="440">
        <f>AU51/AU$60*'Income Statement - Monthly'!AV$26</f>
        <v>424.8046875</v>
      </c>
      <c r="AV52" s="440">
        <f>AV51/AV$60*'Income Statement - Monthly'!AW$26</f>
        <v>450.58139534883725</v>
      </c>
      <c r="AW52" s="440">
        <f>AW51/AW$60*'Income Statement - Monthly'!AX$26</f>
        <v>488.50574712643675</v>
      </c>
      <c r="AX52" s="440">
        <f>AX51/AX$60*'Income Statement - Monthly'!AY$26</f>
        <v>513.30798479087457</v>
      </c>
      <c r="AY52" s="440">
        <f>AY51/AY$60*'Income Statement - Monthly'!AZ$26</f>
        <v>549.81203007518798</v>
      </c>
      <c r="AZ52" s="440">
        <f>AZ51/AZ$60*'Income Statement - Monthly'!BA$26</f>
        <v>597.22222222222229</v>
      </c>
      <c r="BA52" s="440">
        <f>BA51/BA$60*'Income Statement - Monthly'!BB$26</f>
        <v>631.86813186813197</v>
      </c>
      <c r="BB52" s="440">
        <f>BB51/BB$60*'Income Statement - Monthly'!BC$26</f>
        <v>676.89530685920579</v>
      </c>
      <c r="BC52" s="440">
        <f>BC51/BC$60*'Income Statement - Monthly'!BD$26</f>
        <v>720.64056939501779</v>
      </c>
      <c r="BD52" s="440">
        <f>BD51/BD$60*'Income Statement - Monthly'!BE$26</f>
        <v>763.15789473684208</v>
      </c>
      <c r="BE52" s="440">
        <f>BE51/BE$60*'Income Statement - Monthly'!BF$26</f>
        <v>804.49826989619385</v>
      </c>
      <c r="BF52" s="440">
        <f>BF51/BF$60*'Income Statement - Monthly'!BG$26</f>
        <v>854.59183673469386</v>
      </c>
      <c r="BG52" s="440">
        <f>BG51/BG$60*'Income Statement - Monthly'!BH$26</f>
        <v>912.5</v>
      </c>
      <c r="BH52" s="440">
        <f>BH51/BH$60*'Income Statement - Monthly'!BI$26</f>
        <v>968.13725490196089</v>
      </c>
      <c r="BI52" s="440">
        <f>BI51/BI$60*'Income Statement - Monthly'!BJ$26</f>
        <v>1021.6346153846152</v>
      </c>
      <c r="BJ52" s="441">
        <f>BJ51/BJ$60*'Income Statement - Monthly'!BK$26</f>
        <v>1081.5047021943574</v>
      </c>
    </row>
    <row r="53" spans="2:63" s="28" customFormat="1" x14ac:dyDescent="0.2">
      <c r="B53" s="437" t="s">
        <v>86</v>
      </c>
      <c r="C53" s="436"/>
      <c r="D53" s="436"/>
      <c r="E53" s="436"/>
      <c r="F53" s="444">
        <f>F52/F51</f>
        <v>32.608695652173914</v>
      </c>
      <c r="G53" s="442">
        <f t="shared" ref="G53:BJ53" si="51">G52/G51</f>
        <v>16.44736842105263</v>
      </c>
      <c r="H53" s="442">
        <f t="shared" si="51"/>
        <v>16.44736842105263</v>
      </c>
      <c r="I53" s="442">
        <f t="shared" si="51"/>
        <v>16.375545851528383</v>
      </c>
      <c r="J53" s="442">
        <f t="shared" si="51"/>
        <v>16.375545851528383</v>
      </c>
      <c r="K53" s="442">
        <f t="shared" si="51"/>
        <v>16.375545851528383</v>
      </c>
      <c r="L53" s="442">
        <f t="shared" si="51"/>
        <v>16.375545851528383</v>
      </c>
      <c r="M53" s="442">
        <f t="shared" si="51"/>
        <v>16.375545851528383</v>
      </c>
      <c r="N53" s="442">
        <f t="shared" si="51"/>
        <v>16.375545851528383</v>
      </c>
      <c r="O53" s="442">
        <f t="shared" si="51"/>
        <v>16.375545851528383</v>
      </c>
      <c r="P53" s="442">
        <f t="shared" si="51"/>
        <v>16.304347826086957</v>
      </c>
      <c r="Q53" s="442">
        <f t="shared" si="51"/>
        <v>16.304347826086957</v>
      </c>
      <c r="R53" s="442">
        <f t="shared" si="51"/>
        <v>16.304347826086957</v>
      </c>
      <c r="S53" s="442">
        <f t="shared" si="51"/>
        <v>16.304347826086957</v>
      </c>
      <c r="T53" s="442">
        <f t="shared" si="51"/>
        <v>16.233766233766232</v>
      </c>
      <c r="U53" s="442">
        <f t="shared" si="51"/>
        <v>16.233766233766232</v>
      </c>
      <c r="V53" s="442">
        <f t="shared" si="51"/>
        <v>16.233766233766232</v>
      </c>
      <c r="W53" s="442">
        <f t="shared" si="51"/>
        <v>16.163793103448278</v>
      </c>
      <c r="X53" s="442">
        <f t="shared" si="51"/>
        <v>16.163793103448278</v>
      </c>
      <c r="Y53" s="442">
        <f t="shared" si="51"/>
        <v>16.163793103448278</v>
      </c>
      <c r="Z53" s="442">
        <f t="shared" si="51"/>
        <v>16.094420600858367</v>
      </c>
      <c r="AA53" s="442">
        <f t="shared" si="51"/>
        <v>16.094420600858367</v>
      </c>
      <c r="AB53" s="442">
        <f t="shared" si="51"/>
        <v>16.025641025641026</v>
      </c>
      <c r="AC53" s="442">
        <f t="shared" si="51"/>
        <v>16.025641025641026</v>
      </c>
      <c r="AD53" s="442">
        <f t="shared" si="51"/>
        <v>15.957446808510639</v>
      </c>
      <c r="AE53" s="442">
        <f t="shared" si="51"/>
        <v>15.957446808510639</v>
      </c>
      <c r="AF53" s="442">
        <f t="shared" si="51"/>
        <v>15.889830508474578</v>
      </c>
      <c r="AG53" s="442">
        <f t="shared" si="51"/>
        <v>15.822784810126581</v>
      </c>
      <c r="AH53" s="442">
        <f t="shared" si="51"/>
        <v>15.756302521008404</v>
      </c>
      <c r="AI53" s="442">
        <f t="shared" si="51"/>
        <v>15.756302521008404</v>
      </c>
      <c r="AJ53" s="442">
        <f t="shared" si="51"/>
        <v>15.690376569037655</v>
      </c>
      <c r="AK53" s="442">
        <f t="shared" si="51"/>
        <v>15.625</v>
      </c>
      <c r="AL53" s="442">
        <f t="shared" si="51"/>
        <v>15.560165975103734</v>
      </c>
      <c r="AM53" s="442">
        <f t="shared" si="51"/>
        <v>15.4320987654321</v>
      </c>
      <c r="AN53" s="442">
        <f t="shared" si="51"/>
        <v>15.368852459016393</v>
      </c>
      <c r="AO53" s="442">
        <f t="shared" si="51"/>
        <v>15.306122448979592</v>
      </c>
      <c r="AP53" s="442">
        <f t="shared" si="51"/>
        <v>15.182186234817815</v>
      </c>
      <c r="AQ53" s="442">
        <f t="shared" si="51"/>
        <v>15.120967741935482</v>
      </c>
      <c r="AR53" s="442">
        <f t="shared" si="51"/>
        <v>15</v>
      </c>
      <c r="AS53" s="442">
        <f t="shared" si="51"/>
        <v>14.880952380952381</v>
      </c>
      <c r="AT53" s="442">
        <f t="shared" si="51"/>
        <v>14.763779527559056</v>
      </c>
      <c r="AU53" s="442">
        <f t="shared" si="51"/>
        <v>14.6484375</v>
      </c>
      <c r="AV53" s="442">
        <f t="shared" si="51"/>
        <v>14.534883720930234</v>
      </c>
      <c r="AW53" s="442">
        <f t="shared" si="51"/>
        <v>14.367816091954023</v>
      </c>
      <c r="AX53" s="442">
        <f t="shared" si="51"/>
        <v>14.258555133079849</v>
      </c>
      <c r="AY53" s="442">
        <f t="shared" si="51"/>
        <v>14.097744360902256</v>
      </c>
      <c r="AZ53" s="442">
        <f t="shared" si="51"/>
        <v>13.888888888888891</v>
      </c>
      <c r="BA53" s="442">
        <f t="shared" si="51"/>
        <v>13.736263736263739</v>
      </c>
      <c r="BB53" s="442">
        <f t="shared" si="51"/>
        <v>13.537906137184116</v>
      </c>
      <c r="BC53" s="442">
        <f t="shared" si="51"/>
        <v>13.345195729537366</v>
      </c>
      <c r="BD53" s="442">
        <f t="shared" si="51"/>
        <v>13.157894736842104</v>
      </c>
      <c r="BE53" s="442">
        <f t="shared" si="51"/>
        <v>12.975778546712805</v>
      </c>
      <c r="BF53" s="442">
        <f t="shared" si="51"/>
        <v>12.755102040816325</v>
      </c>
      <c r="BG53" s="442">
        <f t="shared" si="51"/>
        <v>12.5</v>
      </c>
      <c r="BH53" s="442">
        <f t="shared" si="51"/>
        <v>12.254901960784315</v>
      </c>
      <c r="BI53" s="442">
        <f t="shared" si="51"/>
        <v>12.019230769230768</v>
      </c>
      <c r="BJ53" s="443">
        <f t="shared" si="51"/>
        <v>11.755485893416928</v>
      </c>
    </row>
    <row r="54" spans="2:63" s="16" customFormat="1" x14ac:dyDescent="0.2">
      <c r="B54" s="234"/>
      <c r="C54" s="309"/>
      <c r="D54" s="309"/>
      <c r="E54" s="309"/>
      <c r="F54" s="309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8"/>
    </row>
    <row r="55" spans="2:63" x14ac:dyDescent="0.2">
      <c r="B55" s="226" t="s">
        <v>95</v>
      </c>
      <c r="C55" s="306">
        <f>OrganicToOneTimeConversion*C49</f>
        <v>0</v>
      </c>
      <c r="D55" s="306">
        <f>OrganicToOneTimeConversion*D49</f>
        <v>0</v>
      </c>
      <c r="E55" s="306">
        <f>OrganicToOneTimeConversion*E49</f>
        <v>0</v>
      </c>
      <c r="F55" s="306">
        <v>16</v>
      </c>
      <c r="G55" s="235">
        <f t="shared" ref="G55:AL55" si="52">OrganicToOneTimeConversion*G49</f>
        <v>2.2193999999999998</v>
      </c>
      <c r="H55" s="235">
        <f t="shared" si="52"/>
        <v>2.3969520000000002</v>
      </c>
      <c r="I55" s="235">
        <f t="shared" si="52"/>
        <v>2.5887081600000004</v>
      </c>
      <c r="J55" s="235">
        <f t="shared" si="52"/>
        <v>2.7958048128000006</v>
      </c>
      <c r="K55" s="235">
        <f t="shared" si="52"/>
        <v>3.0194691978240007</v>
      </c>
      <c r="L55" s="235">
        <f t="shared" si="52"/>
        <v>3.261026733649921</v>
      </c>
      <c r="M55" s="235">
        <f t="shared" si="52"/>
        <v>3.521908872341915</v>
      </c>
      <c r="N55" s="235">
        <f t="shared" si="52"/>
        <v>3.8036615821292683</v>
      </c>
      <c r="O55" s="235">
        <f t="shared" si="52"/>
        <v>4.1079545086996099</v>
      </c>
      <c r="P55" s="235">
        <f t="shared" si="52"/>
        <v>4.4365908693955793</v>
      </c>
      <c r="Q55" s="235">
        <f t="shared" si="52"/>
        <v>4.7915181389472252</v>
      </c>
      <c r="R55" s="235">
        <f t="shared" si="52"/>
        <v>5.1748395900630042</v>
      </c>
      <c r="S55" s="235">
        <f t="shared" si="52"/>
        <v>5.5888267572680448</v>
      </c>
      <c r="T55" s="235">
        <f t="shared" si="52"/>
        <v>6.0359328978494888</v>
      </c>
      <c r="U55" s="235">
        <f t="shared" si="52"/>
        <v>6.5188075296774493</v>
      </c>
      <c r="V55" s="235">
        <f t="shared" si="52"/>
        <v>7.0403121320516453</v>
      </c>
      <c r="W55" s="235">
        <f t="shared" si="52"/>
        <v>7.6035371026157774</v>
      </c>
      <c r="X55" s="235">
        <f t="shared" si="52"/>
        <v>8.2118200708250395</v>
      </c>
      <c r="Y55" s="235">
        <f t="shared" si="52"/>
        <v>8.8687656764910443</v>
      </c>
      <c r="Z55" s="235">
        <f t="shared" si="52"/>
        <v>9.5782669306103276</v>
      </c>
      <c r="AA55" s="235">
        <f t="shared" si="52"/>
        <v>10.344528285059155</v>
      </c>
      <c r="AB55" s="235">
        <f t="shared" si="52"/>
        <v>11.172090547863887</v>
      </c>
      <c r="AC55" s="235">
        <f t="shared" si="52"/>
        <v>12.065857791692999</v>
      </c>
      <c r="AD55" s="235">
        <f t="shared" si="52"/>
        <v>13.03112641502844</v>
      </c>
      <c r="AE55" s="235">
        <f t="shared" si="52"/>
        <v>14.073616528230717</v>
      </c>
      <c r="AF55" s="235">
        <f t="shared" si="52"/>
        <v>15.199505850489176</v>
      </c>
      <c r="AG55" s="235">
        <f t="shared" si="52"/>
        <v>16.41546631852831</v>
      </c>
      <c r="AH55" s="235">
        <f t="shared" si="52"/>
        <v>17.728703624010578</v>
      </c>
      <c r="AI55" s="235">
        <f t="shared" si="52"/>
        <v>19.146999913931424</v>
      </c>
      <c r="AJ55" s="235">
        <f t="shared" si="52"/>
        <v>20.67875990704594</v>
      </c>
      <c r="AK55" s="235">
        <f t="shared" si="52"/>
        <v>22.333060699609618</v>
      </c>
      <c r="AL55" s="235">
        <f t="shared" si="52"/>
        <v>24.119705555578388</v>
      </c>
      <c r="AM55" s="235">
        <f t="shared" ref="AM55:BJ55" si="53">OrganicToOneTimeConversion*AM49</f>
        <v>26.049282000024661</v>
      </c>
      <c r="AN55" s="235">
        <f t="shared" si="53"/>
        <v>28.133224560026633</v>
      </c>
      <c r="AO55" s="235">
        <f t="shared" si="53"/>
        <v>30.383882524828767</v>
      </c>
      <c r="AP55" s="235">
        <f t="shared" si="53"/>
        <v>32.814593126815069</v>
      </c>
      <c r="AQ55" s="235">
        <f t="shared" si="53"/>
        <v>35.439760576960275</v>
      </c>
      <c r="AR55" s="235">
        <f t="shared" si="53"/>
        <v>38.274941423117106</v>
      </c>
      <c r="AS55" s="235">
        <f t="shared" si="53"/>
        <v>41.336936736966479</v>
      </c>
      <c r="AT55" s="235">
        <f t="shared" si="53"/>
        <v>44.643891675923797</v>
      </c>
      <c r="AU55" s="235">
        <f t="shared" si="53"/>
        <v>48.215403009997701</v>
      </c>
      <c r="AV55" s="235">
        <f t="shared" si="53"/>
        <v>52.072635250797525</v>
      </c>
      <c r="AW55" s="235">
        <f t="shared" si="53"/>
        <v>56.238446070861329</v>
      </c>
      <c r="AX55" s="235">
        <f t="shared" si="53"/>
        <v>60.737521756530235</v>
      </c>
      <c r="AY55" s="235">
        <f t="shared" si="53"/>
        <v>65.596523497052658</v>
      </c>
      <c r="AZ55" s="235">
        <f t="shared" si="53"/>
        <v>70.844245376816872</v>
      </c>
      <c r="BA55" s="235">
        <f t="shared" si="53"/>
        <v>76.511785006962228</v>
      </c>
      <c r="BB55" s="235">
        <f t="shared" si="53"/>
        <v>82.632727807519217</v>
      </c>
      <c r="BC55" s="235">
        <f t="shared" si="53"/>
        <v>89.243346032120755</v>
      </c>
      <c r="BD55" s="235">
        <f t="shared" si="53"/>
        <v>96.382813714690414</v>
      </c>
      <c r="BE55" s="235">
        <f t="shared" si="53"/>
        <v>104.09343881186565</v>
      </c>
      <c r="BF55" s="235">
        <f t="shared" si="53"/>
        <v>112.42091391681491</v>
      </c>
      <c r="BG55" s="235">
        <f t="shared" si="53"/>
        <v>121.41458703016012</v>
      </c>
      <c r="BH55" s="235">
        <f t="shared" si="53"/>
        <v>131.12775399257293</v>
      </c>
      <c r="BI55" s="235">
        <f t="shared" si="53"/>
        <v>141.61797431197877</v>
      </c>
      <c r="BJ55" s="236">
        <f t="shared" si="53"/>
        <v>152.94741225693707</v>
      </c>
      <c r="BK55" t="s">
        <v>98</v>
      </c>
    </row>
    <row r="56" spans="2:63" ht="17" thickBot="1" x14ac:dyDescent="0.25">
      <c r="B56" s="226" t="s">
        <v>96</v>
      </c>
      <c r="C56" s="307"/>
      <c r="D56" s="307"/>
      <c r="E56" s="307"/>
      <c r="F56" s="307">
        <v>31.34</v>
      </c>
      <c r="G56" s="237">
        <f t="shared" ref="G56:AH56" si="54">AverageBasketSizeOneTimePurchases</f>
        <v>27.5</v>
      </c>
      <c r="H56" s="237">
        <f t="shared" si="54"/>
        <v>27.5</v>
      </c>
      <c r="I56" s="237">
        <f t="shared" si="54"/>
        <v>27.5</v>
      </c>
      <c r="J56" s="237">
        <f t="shared" si="54"/>
        <v>27.5</v>
      </c>
      <c r="K56" s="237">
        <f t="shared" si="54"/>
        <v>27.5</v>
      </c>
      <c r="L56" s="237">
        <f t="shared" si="54"/>
        <v>27.5</v>
      </c>
      <c r="M56" s="237">
        <f t="shared" si="54"/>
        <v>27.5</v>
      </c>
      <c r="N56" s="237">
        <f t="shared" si="54"/>
        <v>27.5</v>
      </c>
      <c r="O56" s="237">
        <f t="shared" si="54"/>
        <v>27.5</v>
      </c>
      <c r="P56" s="237">
        <f t="shared" si="54"/>
        <v>27.5</v>
      </c>
      <c r="Q56" s="237">
        <f t="shared" si="54"/>
        <v>27.5</v>
      </c>
      <c r="R56" s="237">
        <f t="shared" si="54"/>
        <v>27.5</v>
      </c>
      <c r="S56" s="237">
        <f t="shared" si="54"/>
        <v>27.5</v>
      </c>
      <c r="T56" s="237">
        <f t="shared" si="54"/>
        <v>27.5</v>
      </c>
      <c r="U56" s="237">
        <f t="shared" si="54"/>
        <v>27.5</v>
      </c>
      <c r="V56" s="237">
        <f t="shared" si="54"/>
        <v>27.5</v>
      </c>
      <c r="W56" s="237">
        <f t="shared" si="54"/>
        <v>27.5</v>
      </c>
      <c r="X56" s="237">
        <f t="shared" si="54"/>
        <v>27.5</v>
      </c>
      <c r="Y56" s="237">
        <f t="shared" si="54"/>
        <v>27.5</v>
      </c>
      <c r="Z56" s="237">
        <f t="shared" si="54"/>
        <v>27.5</v>
      </c>
      <c r="AA56" s="237">
        <f t="shared" si="54"/>
        <v>27.5</v>
      </c>
      <c r="AB56" s="237">
        <f t="shared" si="54"/>
        <v>27.5</v>
      </c>
      <c r="AC56" s="237">
        <f t="shared" si="54"/>
        <v>27.5</v>
      </c>
      <c r="AD56" s="237">
        <f t="shared" si="54"/>
        <v>27.5</v>
      </c>
      <c r="AE56" s="237">
        <f t="shared" si="54"/>
        <v>27.5</v>
      </c>
      <c r="AF56" s="237">
        <f t="shared" si="54"/>
        <v>27.5</v>
      </c>
      <c r="AG56" s="237">
        <f t="shared" si="54"/>
        <v>27.5</v>
      </c>
      <c r="AH56" s="237">
        <f t="shared" si="54"/>
        <v>27.5</v>
      </c>
      <c r="AI56" s="237">
        <f t="shared" ref="AI56:BJ56" si="55">AverageBasketSizeOneTimePurchases</f>
        <v>27.5</v>
      </c>
      <c r="AJ56" s="237">
        <f t="shared" si="55"/>
        <v>27.5</v>
      </c>
      <c r="AK56" s="237">
        <f t="shared" si="55"/>
        <v>27.5</v>
      </c>
      <c r="AL56" s="237">
        <f t="shared" si="55"/>
        <v>27.5</v>
      </c>
      <c r="AM56" s="237">
        <f t="shared" si="55"/>
        <v>27.5</v>
      </c>
      <c r="AN56" s="237">
        <f t="shared" si="55"/>
        <v>27.5</v>
      </c>
      <c r="AO56" s="237">
        <f t="shared" si="55"/>
        <v>27.5</v>
      </c>
      <c r="AP56" s="237">
        <f t="shared" si="55"/>
        <v>27.5</v>
      </c>
      <c r="AQ56" s="237">
        <f t="shared" si="55"/>
        <v>27.5</v>
      </c>
      <c r="AR56" s="237">
        <f t="shared" si="55"/>
        <v>27.5</v>
      </c>
      <c r="AS56" s="237">
        <f t="shared" si="55"/>
        <v>27.5</v>
      </c>
      <c r="AT56" s="237">
        <f t="shared" si="55"/>
        <v>27.5</v>
      </c>
      <c r="AU56" s="237">
        <f t="shared" si="55"/>
        <v>27.5</v>
      </c>
      <c r="AV56" s="237">
        <f t="shared" si="55"/>
        <v>27.5</v>
      </c>
      <c r="AW56" s="237">
        <f t="shared" si="55"/>
        <v>27.5</v>
      </c>
      <c r="AX56" s="237">
        <f t="shared" si="55"/>
        <v>27.5</v>
      </c>
      <c r="AY56" s="237">
        <f t="shared" si="55"/>
        <v>27.5</v>
      </c>
      <c r="AZ56" s="237">
        <f t="shared" si="55"/>
        <v>27.5</v>
      </c>
      <c r="BA56" s="237">
        <f t="shared" si="55"/>
        <v>27.5</v>
      </c>
      <c r="BB56" s="237">
        <f t="shared" si="55"/>
        <v>27.5</v>
      </c>
      <c r="BC56" s="237">
        <f t="shared" si="55"/>
        <v>27.5</v>
      </c>
      <c r="BD56" s="237">
        <f t="shared" si="55"/>
        <v>27.5</v>
      </c>
      <c r="BE56" s="237">
        <f t="shared" si="55"/>
        <v>27.5</v>
      </c>
      <c r="BF56" s="237">
        <f t="shared" si="55"/>
        <v>27.5</v>
      </c>
      <c r="BG56" s="237">
        <f t="shared" si="55"/>
        <v>27.5</v>
      </c>
      <c r="BH56" s="237">
        <f t="shared" si="55"/>
        <v>27.5</v>
      </c>
      <c r="BI56" s="237">
        <f t="shared" si="55"/>
        <v>27.5</v>
      </c>
      <c r="BJ56" s="238">
        <f t="shared" si="55"/>
        <v>27.5</v>
      </c>
    </row>
    <row r="57" spans="2:63" s="1" customFormat="1" ht="17" thickBot="1" x14ac:dyDescent="0.25">
      <c r="B57" s="239" t="s">
        <v>97</v>
      </c>
      <c r="C57" s="267">
        <f>C56*C55</f>
        <v>0</v>
      </c>
      <c r="D57" s="267">
        <f t="shared" ref="D57:BJ57" si="56">D56*D55</f>
        <v>0</v>
      </c>
      <c r="E57" s="267">
        <f t="shared" si="56"/>
        <v>0</v>
      </c>
      <c r="F57" s="267">
        <f t="shared" si="56"/>
        <v>501.44</v>
      </c>
      <c r="G57" s="240">
        <f t="shared" si="56"/>
        <v>61.033499999999997</v>
      </c>
      <c r="H57" s="240">
        <f t="shared" si="56"/>
        <v>65.916180000000011</v>
      </c>
      <c r="I57" s="240">
        <f t="shared" si="56"/>
        <v>71.189474400000009</v>
      </c>
      <c r="J57" s="240">
        <f t="shared" si="56"/>
        <v>76.884632352000011</v>
      </c>
      <c r="K57" s="240">
        <f t="shared" si="56"/>
        <v>83.035402940160026</v>
      </c>
      <c r="L57" s="240">
        <f t="shared" si="56"/>
        <v>89.678235175372834</v>
      </c>
      <c r="M57" s="240">
        <f t="shared" si="56"/>
        <v>96.85249398940266</v>
      </c>
      <c r="N57" s="240">
        <f t="shared" si="56"/>
        <v>104.60069350855488</v>
      </c>
      <c r="O57" s="240">
        <f t="shared" si="56"/>
        <v>112.96874898923927</v>
      </c>
      <c r="P57" s="240">
        <f t="shared" si="56"/>
        <v>122.00624890837844</v>
      </c>
      <c r="Q57" s="240">
        <f t="shared" si="56"/>
        <v>131.76674882104868</v>
      </c>
      <c r="R57" s="240">
        <f t="shared" si="56"/>
        <v>142.30808872673262</v>
      </c>
      <c r="S57" s="240">
        <f t="shared" si="56"/>
        <v>153.69273582487122</v>
      </c>
      <c r="T57" s="240">
        <f t="shared" si="56"/>
        <v>165.98815469086094</v>
      </c>
      <c r="U57" s="240">
        <f t="shared" si="56"/>
        <v>179.26720706612986</v>
      </c>
      <c r="V57" s="240">
        <f t="shared" si="56"/>
        <v>193.60858363142026</v>
      </c>
      <c r="W57" s="240">
        <f t="shared" si="56"/>
        <v>209.09727032193388</v>
      </c>
      <c r="X57" s="240">
        <f t="shared" si="56"/>
        <v>225.82505194768859</v>
      </c>
      <c r="Y57" s="240">
        <f t="shared" si="56"/>
        <v>243.89105610350373</v>
      </c>
      <c r="Z57" s="240">
        <f t="shared" si="56"/>
        <v>263.40234059178403</v>
      </c>
      <c r="AA57" s="240">
        <f t="shared" si="56"/>
        <v>284.47452783912678</v>
      </c>
      <c r="AB57" s="240">
        <f t="shared" si="56"/>
        <v>307.2324900662569</v>
      </c>
      <c r="AC57" s="240">
        <f t="shared" si="56"/>
        <v>331.81108927155748</v>
      </c>
      <c r="AD57" s="240">
        <f t="shared" si="56"/>
        <v>358.35597641328212</v>
      </c>
      <c r="AE57" s="240">
        <f t="shared" si="56"/>
        <v>387.0244545263447</v>
      </c>
      <c r="AF57" s="240">
        <f t="shared" si="56"/>
        <v>417.98641088845233</v>
      </c>
      <c r="AG57" s="240">
        <f t="shared" si="56"/>
        <v>451.42532375952851</v>
      </c>
      <c r="AH57" s="240">
        <f t="shared" si="56"/>
        <v>487.5393496602909</v>
      </c>
      <c r="AI57" s="240">
        <f t="shared" si="56"/>
        <v>526.54249763311418</v>
      </c>
      <c r="AJ57" s="240">
        <f t="shared" si="56"/>
        <v>568.66589744376336</v>
      </c>
      <c r="AK57" s="240">
        <f t="shared" si="56"/>
        <v>614.15916923926454</v>
      </c>
      <c r="AL57" s="240">
        <f t="shared" si="56"/>
        <v>663.29190277840564</v>
      </c>
      <c r="AM57" s="240">
        <f t="shared" si="56"/>
        <v>716.3552550006782</v>
      </c>
      <c r="AN57" s="240">
        <f t="shared" si="56"/>
        <v>773.66367540073247</v>
      </c>
      <c r="AO57" s="240">
        <f t="shared" si="56"/>
        <v>835.55676943279104</v>
      </c>
      <c r="AP57" s="240">
        <f t="shared" si="56"/>
        <v>902.40131098741438</v>
      </c>
      <c r="AQ57" s="240">
        <f t="shared" si="56"/>
        <v>974.59341586640755</v>
      </c>
      <c r="AR57" s="240">
        <f t="shared" si="56"/>
        <v>1052.5608891357203</v>
      </c>
      <c r="AS57" s="240">
        <f t="shared" si="56"/>
        <v>1136.7657602665781</v>
      </c>
      <c r="AT57" s="240">
        <f t="shared" si="56"/>
        <v>1227.7070210879044</v>
      </c>
      <c r="AU57" s="240">
        <f t="shared" si="56"/>
        <v>1325.9235827749367</v>
      </c>
      <c r="AV57" s="240">
        <f t="shared" si="56"/>
        <v>1431.997469396932</v>
      </c>
      <c r="AW57" s="240">
        <f t="shared" si="56"/>
        <v>1546.5572669486864</v>
      </c>
      <c r="AX57" s="240">
        <f t="shared" si="56"/>
        <v>1670.2818483045814</v>
      </c>
      <c r="AY57" s="240">
        <f t="shared" si="56"/>
        <v>1803.9043961689481</v>
      </c>
      <c r="AZ57" s="240">
        <f t="shared" si="56"/>
        <v>1948.216747862464</v>
      </c>
      <c r="BA57" s="240">
        <f t="shared" si="56"/>
        <v>2104.074087691461</v>
      </c>
      <c r="BB57" s="240">
        <f t="shared" si="56"/>
        <v>2272.4000147067786</v>
      </c>
      <c r="BC57" s="240">
        <f t="shared" si="56"/>
        <v>2454.1920158833209</v>
      </c>
      <c r="BD57" s="240">
        <f t="shared" si="56"/>
        <v>2650.5273771539864</v>
      </c>
      <c r="BE57" s="240">
        <f t="shared" si="56"/>
        <v>2862.5695673263053</v>
      </c>
      <c r="BF57" s="240">
        <f t="shared" si="56"/>
        <v>3091.5751327124099</v>
      </c>
      <c r="BG57" s="240">
        <f t="shared" si="56"/>
        <v>3338.9011433294031</v>
      </c>
      <c r="BH57" s="240">
        <f t="shared" si="56"/>
        <v>3606.0132347957556</v>
      </c>
      <c r="BI57" s="240">
        <f t="shared" si="56"/>
        <v>3894.4942935794161</v>
      </c>
      <c r="BJ57" s="241">
        <f t="shared" si="56"/>
        <v>4206.0538370657696</v>
      </c>
    </row>
    <row r="58" spans="2:63" x14ac:dyDescent="0.2">
      <c r="B58" s="2"/>
      <c r="C58" s="275"/>
      <c r="D58" s="275"/>
      <c r="E58" s="275"/>
      <c r="F58" s="275"/>
      <c r="BJ58" s="3"/>
    </row>
    <row r="59" spans="2:63" ht="17" thickBot="1" x14ac:dyDescent="0.25">
      <c r="B59" s="2"/>
      <c r="C59" s="275"/>
      <c r="D59" s="275"/>
      <c r="E59" s="275"/>
      <c r="F59" s="275"/>
      <c r="BJ59" s="3"/>
    </row>
    <row r="60" spans="2:63" s="1" customFormat="1" ht="17" thickBot="1" x14ac:dyDescent="0.25">
      <c r="B60" s="135" t="s">
        <v>71</v>
      </c>
      <c r="C60" s="310">
        <f t="shared" ref="C60:AH60" si="57">C11+C25+C39+C51</f>
        <v>0</v>
      </c>
      <c r="D60" s="310">
        <f t="shared" si="57"/>
        <v>0</v>
      </c>
      <c r="E60" s="310">
        <f t="shared" si="57"/>
        <v>0</v>
      </c>
      <c r="F60" s="310">
        <f t="shared" si="57"/>
        <v>115</v>
      </c>
      <c r="G60" s="169">
        <f t="shared" si="57"/>
        <v>228</v>
      </c>
      <c r="H60" s="169">
        <f t="shared" si="57"/>
        <v>228</v>
      </c>
      <c r="I60" s="169">
        <f t="shared" si="57"/>
        <v>229</v>
      </c>
      <c r="J60" s="169">
        <f t="shared" si="57"/>
        <v>229</v>
      </c>
      <c r="K60" s="169">
        <f t="shared" si="57"/>
        <v>229</v>
      </c>
      <c r="L60" s="169">
        <f t="shared" si="57"/>
        <v>229</v>
      </c>
      <c r="M60" s="169">
        <f t="shared" si="57"/>
        <v>229</v>
      </c>
      <c r="N60" s="169">
        <f t="shared" si="57"/>
        <v>229</v>
      </c>
      <c r="O60" s="169">
        <f t="shared" si="57"/>
        <v>229</v>
      </c>
      <c r="P60" s="169">
        <f t="shared" si="57"/>
        <v>230</v>
      </c>
      <c r="Q60" s="169">
        <f t="shared" si="57"/>
        <v>230</v>
      </c>
      <c r="R60" s="169">
        <f t="shared" si="57"/>
        <v>230</v>
      </c>
      <c r="S60" s="169">
        <f t="shared" si="57"/>
        <v>230</v>
      </c>
      <c r="T60" s="169">
        <f t="shared" si="57"/>
        <v>231</v>
      </c>
      <c r="U60" s="169">
        <f t="shared" si="57"/>
        <v>231</v>
      </c>
      <c r="V60" s="169">
        <f t="shared" si="57"/>
        <v>231</v>
      </c>
      <c r="W60" s="169">
        <f t="shared" si="57"/>
        <v>232</v>
      </c>
      <c r="X60" s="169">
        <f t="shared" si="57"/>
        <v>232</v>
      </c>
      <c r="Y60" s="169">
        <f t="shared" si="57"/>
        <v>232</v>
      </c>
      <c r="Z60" s="169">
        <f t="shared" si="57"/>
        <v>233</v>
      </c>
      <c r="AA60" s="169">
        <f t="shared" si="57"/>
        <v>233</v>
      </c>
      <c r="AB60" s="169">
        <f t="shared" si="57"/>
        <v>234</v>
      </c>
      <c r="AC60" s="169">
        <f t="shared" si="57"/>
        <v>234</v>
      </c>
      <c r="AD60" s="169">
        <f t="shared" si="57"/>
        <v>235</v>
      </c>
      <c r="AE60" s="169">
        <f t="shared" si="57"/>
        <v>235</v>
      </c>
      <c r="AF60" s="169">
        <f t="shared" si="57"/>
        <v>236</v>
      </c>
      <c r="AG60" s="169">
        <f t="shared" si="57"/>
        <v>237</v>
      </c>
      <c r="AH60" s="169">
        <f t="shared" si="57"/>
        <v>238</v>
      </c>
      <c r="AI60" s="169">
        <f t="shared" ref="AI60:BJ60" si="58">AI11+AI25+AI39+AI51</f>
        <v>238</v>
      </c>
      <c r="AJ60" s="169">
        <f t="shared" si="58"/>
        <v>239</v>
      </c>
      <c r="AK60" s="169">
        <f t="shared" si="58"/>
        <v>240</v>
      </c>
      <c r="AL60" s="169">
        <f t="shared" si="58"/>
        <v>241</v>
      </c>
      <c r="AM60" s="169">
        <f t="shared" si="58"/>
        <v>243</v>
      </c>
      <c r="AN60" s="169">
        <f t="shared" si="58"/>
        <v>244</v>
      </c>
      <c r="AO60" s="169">
        <f t="shared" si="58"/>
        <v>245</v>
      </c>
      <c r="AP60" s="169">
        <f t="shared" si="58"/>
        <v>247</v>
      </c>
      <c r="AQ60" s="169">
        <f t="shared" si="58"/>
        <v>248</v>
      </c>
      <c r="AR60" s="169">
        <f t="shared" si="58"/>
        <v>250</v>
      </c>
      <c r="AS60" s="169">
        <f t="shared" si="58"/>
        <v>252</v>
      </c>
      <c r="AT60" s="169">
        <f t="shared" si="58"/>
        <v>254</v>
      </c>
      <c r="AU60" s="169">
        <f t="shared" si="58"/>
        <v>256</v>
      </c>
      <c r="AV60" s="169">
        <f t="shared" si="58"/>
        <v>258</v>
      </c>
      <c r="AW60" s="169">
        <f t="shared" si="58"/>
        <v>261</v>
      </c>
      <c r="AX60" s="169">
        <f t="shared" si="58"/>
        <v>263</v>
      </c>
      <c r="AY60" s="169">
        <f t="shared" si="58"/>
        <v>266</v>
      </c>
      <c r="AZ60" s="169">
        <f t="shared" si="58"/>
        <v>270</v>
      </c>
      <c r="BA60" s="169">
        <f t="shared" si="58"/>
        <v>273</v>
      </c>
      <c r="BB60" s="169">
        <f t="shared" si="58"/>
        <v>277</v>
      </c>
      <c r="BC60" s="169">
        <f t="shared" si="58"/>
        <v>281</v>
      </c>
      <c r="BD60" s="169">
        <f t="shared" si="58"/>
        <v>285</v>
      </c>
      <c r="BE60" s="169">
        <f t="shared" si="58"/>
        <v>289</v>
      </c>
      <c r="BF60" s="169">
        <f t="shared" si="58"/>
        <v>294</v>
      </c>
      <c r="BG60" s="169">
        <f t="shared" si="58"/>
        <v>300</v>
      </c>
      <c r="BH60" s="169">
        <f t="shared" si="58"/>
        <v>306</v>
      </c>
      <c r="BI60" s="169">
        <f t="shared" si="58"/>
        <v>312</v>
      </c>
      <c r="BJ60" s="170">
        <f t="shared" si="58"/>
        <v>319</v>
      </c>
    </row>
    <row r="61" spans="2:63" x14ac:dyDescent="0.2">
      <c r="B61" s="2"/>
      <c r="C61" s="275"/>
      <c r="D61" s="275"/>
      <c r="E61" s="275"/>
      <c r="F61" s="275"/>
      <c r="BJ61" s="3"/>
    </row>
    <row r="62" spans="2:63" ht="17" thickBot="1" x14ac:dyDescent="0.25">
      <c r="B62" s="2" t="s">
        <v>105</v>
      </c>
      <c r="C62" s="309">
        <f t="shared" ref="C62:AH62" si="59">C16+C30+C44+C55</f>
        <v>0</v>
      </c>
      <c r="D62" s="309">
        <f t="shared" si="59"/>
        <v>0</v>
      </c>
      <c r="E62" s="309">
        <f t="shared" si="59"/>
        <v>0</v>
      </c>
      <c r="F62" s="309">
        <f t="shared" si="59"/>
        <v>151</v>
      </c>
      <c r="G62" s="163">
        <f t="shared" si="59"/>
        <v>270.21940000000001</v>
      </c>
      <c r="H62" s="163">
        <f t="shared" si="59"/>
        <v>270.396952</v>
      </c>
      <c r="I62" s="163">
        <f t="shared" si="59"/>
        <v>270.58870816000001</v>
      </c>
      <c r="J62" s="163">
        <f t="shared" si="59"/>
        <v>270.79580481279999</v>
      </c>
      <c r="K62" s="163">
        <f t="shared" si="59"/>
        <v>271.01946919782398</v>
      </c>
      <c r="L62" s="163">
        <f t="shared" si="59"/>
        <v>271.26102673364994</v>
      </c>
      <c r="M62" s="163">
        <f t="shared" si="59"/>
        <v>271.5219088723419</v>
      </c>
      <c r="N62" s="163">
        <f t="shared" si="59"/>
        <v>271.80366158212928</v>
      </c>
      <c r="O62" s="163">
        <f t="shared" si="59"/>
        <v>272.10795450869961</v>
      </c>
      <c r="P62" s="163">
        <f t="shared" si="59"/>
        <v>272.43659086939556</v>
      </c>
      <c r="Q62" s="163">
        <f t="shared" si="59"/>
        <v>272.79151813894725</v>
      </c>
      <c r="R62" s="163">
        <f t="shared" si="59"/>
        <v>273.17483959006302</v>
      </c>
      <c r="S62" s="163">
        <f t="shared" si="59"/>
        <v>273.58882675726807</v>
      </c>
      <c r="T62" s="163">
        <f t="shared" si="59"/>
        <v>274.03593289784948</v>
      </c>
      <c r="U62" s="163">
        <f t="shared" si="59"/>
        <v>274.51880752967747</v>
      </c>
      <c r="V62" s="163">
        <f t="shared" si="59"/>
        <v>275.04031213205167</v>
      </c>
      <c r="W62" s="163">
        <f t="shared" si="59"/>
        <v>275.6035371026158</v>
      </c>
      <c r="X62" s="163">
        <f t="shared" si="59"/>
        <v>276.21182007082501</v>
      </c>
      <c r="Y62" s="163">
        <f t="shared" si="59"/>
        <v>276.86876567649102</v>
      </c>
      <c r="Z62" s="163">
        <f t="shared" si="59"/>
        <v>277.57826693061031</v>
      </c>
      <c r="AA62" s="163">
        <f t="shared" si="59"/>
        <v>278.34452828505914</v>
      </c>
      <c r="AB62" s="163">
        <f t="shared" si="59"/>
        <v>279.17209054786389</v>
      </c>
      <c r="AC62" s="163">
        <f t="shared" si="59"/>
        <v>280.06585779169302</v>
      </c>
      <c r="AD62" s="163">
        <f t="shared" si="59"/>
        <v>281.03112641502844</v>
      </c>
      <c r="AE62" s="163">
        <f t="shared" si="59"/>
        <v>282.07361652823073</v>
      </c>
      <c r="AF62" s="163">
        <f t="shared" si="59"/>
        <v>283.19950585048917</v>
      </c>
      <c r="AG62" s="163">
        <f t="shared" si="59"/>
        <v>284.41546631852833</v>
      </c>
      <c r="AH62" s="163">
        <f t="shared" si="59"/>
        <v>285.72870362401056</v>
      </c>
      <c r="AI62" s="163">
        <f t="shared" ref="AI62:BJ62" si="60">AI16+AI30+AI44+AI55</f>
        <v>287.14699991393144</v>
      </c>
      <c r="AJ62" s="163">
        <f t="shared" si="60"/>
        <v>288.67875990704596</v>
      </c>
      <c r="AK62" s="163">
        <f t="shared" si="60"/>
        <v>290.33306069960963</v>
      </c>
      <c r="AL62" s="163">
        <f t="shared" si="60"/>
        <v>292.11970555557838</v>
      </c>
      <c r="AM62" s="163">
        <f t="shared" si="60"/>
        <v>294.04928200002468</v>
      </c>
      <c r="AN62" s="163">
        <f t="shared" si="60"/>
        <v>296.13322456002663</v>
      </c>
      <c r="AO62" s="163">
        <f t="shared" si="60"/>
        <v>298.38388252482878</v>
      </c>
      <c r="AP62" s="163">
        <f t="shared" si="60"/>
        <v>300.81459312681505</v>
      </c>
      <c r="AQ62" s="163">
        <f t="shared" si="60"/>
        <v>303.43976057696028</v>
      </c>
      <c r="AR62" s="163">
        <f t="shared" si="60"/>
        <v>306.27494142311713</v>
      </c>
      <c r="AS62" s="163">
        <f t="shared" si="60"/>
        <v>309.33693673696649</v>
      </c>
      <c r="AT62" s="163">
        <f t="shared" si="60"/>
        <v>312.64389167592378</v>
      </c>
      <c r="AU62" s="163">
        <f t="shared" si="60"/>
        <v>316.21540300999771</v>
      </c>
      <c r="AV62" s="163">
        <f t="shared" si="60"/>
        <v>320.07263525079753</v>
      </c>
      <c r="AW62" s="163">
        <f t="shared" si="60"/>
        <v>324.2384460708613</v>
      </c>
      <c r="AX62" s="163">
        <f t="shared" si="60"/>
        <v>328.73752175653021</v>
      </c>
      <c r="AY62" s="163">
        <f t="shared" si="60"/>
        <v>333.59652349705266</v>
      </c>
      <c r="AZ62" s="163">
        <f t="shared" si="60"/>
        <v>338.84424537681684</v>
      </c>
      <c r="BA62" s="163">
        <f t="shared" si="60"/>
        <v>344.51178500696221</v>
      </c>
      <c r="BB62" s="163">
        <f t="shared" si="60"/>
        <v>350.63272780751925</v>
      </c>
      <c r="BC62" s="163">
        <f t="shared" si="60"/>
        <v>357.24334603212077</v>
      </c>
      <c r="BD62" s="163">
        <f t="shared" si="60"/>
        <v>364.38281371469043</v>
      </c>
      <c r="BE62" s="163">
        <f t="shared" si="60"/>
        <v>372.09343881186567</v>
      </c>
      <c r="BF62" s="163">
        <f t="shared" si="60"/>
        <v>380.42091391681492</v>
      </c>
      <c r="BG62" s="163">
        <f t="shared" si="60"/>
        <v>389.41458703016013</v>
      </c>
      <c r="BH62" s="163">
        <f t="shared" si="60"/>
        <v>399.12775399257293</v>
      </c>
      <c r="BI62" s="163">
        <f t="shared" si="60"/>
        <v>409.61797431197874</v>
      </c>
      <c r="BJ62" s="10">
        <f t="shared" si="60"/>
        <v>420.94741225693707</v>
      </c>
    </row>
    <row r="63" spans="2:63" s="23" customFormat="1" ht="17" thickBot="1" x14ac:dyDescent="0.25">
      <c r="B63" s="100" t="s">
        <v>106</v>
      </c>
      <c r="C63" s="267">
        <f t="shared" ref="C63:AH63" si="61">C18+C32+C46+C57</f>
        <v>0</v>
      </c>
      <c r="D63" s="267">
        <f t="shared" si="61"/>
        <v>0</v>
      </c>
      <c r="E63" s="267">
        <f t="shared" si="61"/>
        <v>0</v>
      </c>
      <c r="F63" s="267">
        <f t="shared" si="61"/>
        <v>4259.08</v>
      </c>
      <c r="G63" s="118">
        <f t="shared" si="61"/>
        <v>7431.0334999999995</v>
      </c>
      <c r="H63" s="118">
        <f t="shared" si="61"/>
        <v>7435.9161800000002</v>
      </c>
      <c r="I63" s="118">
        <f t="shared" si="61"/>
        <v>7441.1894744000001</v>
      </c>
      <c r="J63" s="118">
        <f t="shared" si="61"/>
        <v>7446.8846323520002</v>
      </c>
      <c r="K63" s="118">
        <f t="shared" si="61"/>
        <v>7453.0354029401597</v>
      </c>
      <c r="L63" s="118">
        <f t="shared" si="61"/>
        <v>7459.6782351753727</v>
      </c>
      <c r="M63" s="118">
        <f t="shared" si="61"/>
        <v>7466.8524939894023</v>
      </c>
      <c r="N63" s="118">
        <f t="shared" si="61"/>
        <v>7474.6006935085552</v>
      </c>
      <c r="O63" s="118">
        <f t="shared" si="61"/>
        <v>7482.9687489892394</v>
      </c>
      <c r="P63" s="118">
        <f t="shared" si="61"/>
        <v>7492.0062489083784</v>
      </c>
      <c r="Q63" s="118">
        <f t="shared" si="61"/>
        <v>7501.7667488210491</v>
      </c>
      <c r="R63" s="118">
        <f t="shared" si="61"/>
        <v>7512.3080887267324</v>
      </c>
      <c r="S63" s="118">
        <f t="shared" si="61"/>
        <v>7523.6927358248713</v>
      </c>
      <c r="T63" s="118">
        <f t="shared" si="61"/>
        <v>7535.9881546908609</v>
      </c>
      <c r="U63" s="118">
        <f t="shared" si="61"/>
        <v>7549.2672070661301</v>
      </c>
      <c r="V63" s="118">
        <f t="shared" si="61"/>
        <v>7563.6085836314205</v>
      </c>
      <c r="W63" s="118">
        <f t="shared" si="61"/>
        <v>7579.097270321934</v>
      </c>
      <c r="X63" s="118">
        <f t="shared" si="61"/>
        <v>7595.8250519476887</v>
      </c>
      <c r="Y63" s="118">
        <f t="shared" si="61"/>
        <v>7613.8910561035036</v>
      </c>
      <c r="Z63" s="118">
        <f t="shared" si="61"/>
        <v>7633.4023405917842</v>
      </c>
      <c r="AA63" s="118">
        <f t="shared" si="61"/>
        <v>7654.4745278391265</v>
      </c>
      <c r="AB63" s="118">
        <f t="shared" si="61"/>
        <v>7677.232490066257</v>
      </c>
      <c r="AC63" s="118">
        <f t="shared" si="61"/>
        <v>7701.8110892715576</v>
      </c>
      <c r="AD63" s="118">
        <f t="shared" si="61"/>
        <v>7728.3559764132824</v>
      </c>
      <c r="AE63" s="118">
        <f t="shared" si="61"/>
        <v>7757.0244545263449</v>
      </c>
      <c r="AF63" s="118">
        <f t="shared" si="61"/>
        <v>7787.9864108884522</v>
      </c>
      <c r="AG63" s="118">
        <f t="shared" si="61"/>
        <v>7821.4253237595285</v>
      </c>
      <c r="AH63" s="118">
        <f t="shared" si="61"/>
        <v>7857.539349660291</v>
      </c>
      <c r="AI63" s="118">
        <f t="shared" ref="AI63:BJ63" si="62">AI18+AI32+AI46+AI57</f>
        <v>7896.5424976331142</v>
      </c>
      <c r="AJ63" s="118">
        <f t="shared" si="62"/>
        <v>7938.6658974437632</v>
      </c>
      <c r="AK63" s="118">
        <f t="shared" si="62"/>
        <v>7984.1591692392649</v>
      </c>
      <c r="AL63" s="118">
        <f t="shared" si="62"/>
        <v>8033.2919027784055</v>
      </c>
      <c r="AM63" s="118">
        <f t="shared" si="62"/>
        <v>8086.355255000678</v>
      </c>
      <c r="AN63" s="118">
        <f t="shared" si="62"/>
        <v>8143.6636754007322</v>
      </c>
      <c r="AO63" s="118">
        <f t="shared" si="62"/>
        <v>8205.556769432791</v>
      </c>
      <c r="AP63" s="118">
        <f t="shared" si="62"/>
        <v>8272.401310987414</v>
      </c>
      <c r="AQ63" s="118">
        <f t="shared" si="62"/>
        <v>8344.5934158664077</v>
      </c>
      <c r="AR63" s="118">
        <f t="shared" si="62"/>
        <v>8422.5608891357206</v>
      </c>
      <c r="AS63" s="118">
        <f t="shared" si="62"/>
        <v>8506.7657602665786</v>
      </c>
      <c r="AT63" s="118">
        <f t="shared" si="62"/>
        <v>8597.7070210879046</v>
      </c>
      <c r="AU63" s="118">
        <f t="shared" si="62"/>
        <v>8695.9235827749362</v>
      </c>
      <c r="AV63" s="118">
        <f t="shared" si="62"/>
        <v>8801.9974693969325</v>
      </c>
      <c r="AW63" s="118">
        <f t="shared" si="62"/>
        <v>8916.5572669486864</v>
      </c>
      <c r="AX63" s="118">
        <f t="shared" si="62"/>
        <v>9040.2818483045812</v>
      </c>
      <c r="AY63" s="118">
        <f t="shared" si="62"/>
        <v>9173.9043961689476</v>
      </c>
      <c r="AZ63" s="118">
        <f t="shared" si="62"/>
        <v>9318.2167478624633</v>
      </c>
      <c r="BA63" s="118">
        <f t="shared" si="62"/>
        <v>9474.0740876914606</v>
      </c>
      <c r="BB63" s="118">
        <f t="shared" si="62"/>
        <v>9642.4000147067782</v>
      </c>
      <c r="BC63" s="118">
        <f t="shared" si="62"/>
        <v>9824.19201588332</v>
      </c>
      <c r="BD63" s="118">
        <f t="shared" si="62"/>
        <v>10020.527377153987</v>
      </c>
      <c r="BE63" s="118">
        <f t="shared" si="62"/>
        <v>10232.569567326305</v>
      </c>
      <c r="BF63" s="118">
        <f t="shared" si="62"/>
        <v>10461.575132712409</v>
      </c>
      <c r="BG63" s="118">
        <f t="shared" si="62"/>
        <v>10708.901143329404</v>
      </c>
      <c r="BH63" s="118">
        <f t="shared" si="62"/>
        <v>10976.013234795755</v>
      </c>
      <c r="BI63" s="118">
        <f t="shared" si="62"/>
        <v>11264.494293579417</v>
      </c>
      <c r="BJ63" s="119">
        <f t="shared" si="62"/>
        <v>11576.05383706577</v>
      </c>
    </row>
    <row r="65" spans="2:62" s="31" customFormat="1" x14ac:dyDescent="0.2">
      <c r="B65" s="31" t="s">
        <v>206</v>
      </c>
      <c r="C65" s="336">
        <f t="shared" ref="C65:AH65" si="63">C9+C23+C37+C49</f>
        <v>0</v>
      </c>
      <c r="D65" s="336">
        <f t="shared" si="63"/>
        <v>0</v>
      </c>
      <c r="E65" s="336">
        <f t="shared" si="63"/>
        <v>0</v>
      </c>
      <c r="F65" s="336">
        <f t="shared" si="63"/>
        <v>10871.993936319232</v>
      </c>
      <c r="G65" s="336">
        <f t="shared" si="63"/>
        <v>20420.687272727271</v>
      </c>
      <c r="H65" s="336">
        <f t="shared" si="63"/>
        <v>20432.524072727272</v>
      </c>
      <c r="I65" s="336">
        <f t="shared" si="63"/>
        <v>20445.307816727272</v>
      </c>
      <c r="J65" s="336">
        <f t="shared" si="63"/>
        <v>20459.114260247272</v>
      </c>
      <c r="K65" s="336">
        <f t="shared" si="63"/>
        <v>20474.025219248873</v>
      </c>
      <c r="L65" s="336">
        <f t="shared" si="63"/>
        <v>20490.129054970599</v>
      </c>
      <c r="M65" s="336">
        <f t="shared" si="63"/>
        <v>20507.521197550068</v>
      </c>
      <c r="N65" s="336">
        <f t="shared" si="63"/>
        <v>20526.30471153589</v>
      </c>
      <c r="O65" s="336">
        <f t="shared" si="63"/>
        <v>20546.59090664058</v>
      </c>
      <c r="P65" s="336">
        <f t="shared" si="63"/>
        <v>20568.499997353643</v>
      </c>
      <c r="Q65" s="336">
        <f t="shared" si="63"/>
        <v>20592.161815323754</v>
      </c>
      <c r="R65" s="336">
        <f t="shared" si="63"/>
        <v>20617.716578731473</v>
      </c>
      <c r="S65" s="336">
        <f t="shared" si="63"/>
        <v>20645.31572321181</v>
      </c>
      <c r="T65" s="336">
        <f t="shared" si="63"/>
        <v>20675.12279925057</v>
      </c>
      <c r="U65" s="336">
        <f t="shared" si="63"/>
        <v>20707.314441372437</v>
      </c>
      <c r="V65" s="336">
        <f t="shared" si="63"/>
        <v>20742.081414864049</v>
      </c>
      <c r="W65" s="336">
        <f t="shared" si="63"/>
        <v>20779.62974623499</v>
      </c>
      <c r="X65" s="336">
        <f t="shared" si="63"/>
        <v>20820.181944115608</v>
      </c>
      <c r="Y65" s="336">
        <f t="shared" si="63"/>
        <v>20863.978317826673</v>
      </c>
      <c r="Z65" s="336">
        <f t="shared" si="63"/>
        <v>20911.278401434629</v>
      </c>
      <c r="AA65" s="336">
        <f t="shared" si="63"/>
        <v>20962.362491731215</v>
      </c>
      <c r="AB65" s="336">
        <f t="shared" si="63"/>
        <v>21017.533309251532</v>
      </c>
      <c r="AC65" s="336">
        <f t="shared" si="63"/>
        <v>21077.117792173471</v>
      </c>
      <c r="AD65" s="336">
        <f t="shared" si="63"/>
        <v>21141.469033729169</v>
      </c>
      <c r="AE65" s="336">
        <f t="shared" si="63"/>
        <v>21210.968374609321</v>
      </c>
      <c r="AF65" s="336">
        <f t="shared" si="63"/>
        <v>21286.027662759883</v>
      </c>
      <c r="AG65" s="336">
        <f t="shared" si="63"/>
        <v>21367.091693962491</v>
      </c>
      <c r="AH65" s="336">
        <f t="shared" si="63"/>
        <v>21454.640847661311</v>
      </c>
      <c r="AI65" s="336">
        <f t="shared" ref="AI65:BJ65" si="64">AI9+AI23+AI37+AI49</f>
        <v>21549.193933656035</v>
      </c>
      <c r="AJ65" s="336">
        <f t="shared" si="64"/>
        <v>21651.311266530334</v>
      </c>
      <c r="AK65" s="336">
        <f t="shared" si="64"/>
        <v>21761.59798603458</v>
      </c>
      <c r="AL65" s="336">
        <f t="shared" si="64"/>
        <v>21880.707643099166</v>
      </c>
      <c r="AM65" s="336">
        <f t="shared" si="64"/>
        <v>22009.346072728917</v>
      </c>
      <c r="AN65" s="336">
        <f t="shared" si="64"/>
        <v>22148.275576729047</v>
      </c>
      <c r="AO65" s="336">
        <f t="shared" si="64"/>
        <v>22298.319441049189</v>
      </c>
      <c r="AP65" s="336">
        <f t="shared" si="64"/>
        <v>22460.366814514942</v>
      </c>
      <c r="AQ65" s="336">
        <f t="shared" si="64"/>
        <v>22635.377977857956</v>
      </c>
      <c r="AR65" s="336">
        <f t="shared" si="64"/>
        <v>22824.390034268414</v>
      </c>
      <c r="AS65" s="336">
        <f t="shared" si="64"/>
        <v>23028.523055191705</v>
      </c>
      <c r="AT65" s="336">
        <f t="shared" si="64"/>
        <v>23248.986717788859</v>
      </c>
      <c r="AU65" s="336">
        <f t="shared" si="64"/>
        <v>23487.087473393785</v>
      </c>
      <c r="AV65" s="336">
        <f t="shared" si="64"/>
        <v>23744.236289447108</v>
      </c>
      <c r="AW65" s="336">
        <f t="shared" si="64"/>
        <v>24021.957010784696</v>
      </c>
      <c r="AX65" s="336">
        <f t="shared" si="64"/>
        <v>24321.895389829289</v>
      </c>
      <c r="AY65" s="336">
        <f t="shared" si="64"/>
        <v>24645.828839197449</v>
      </c>
      <c r="AZ65" s="336">
        <f t="shared" si="64"/>
        <v>24995.676964515063</v>
      </c>
      <c r="BA65" s="336">
        <f t="shared" si="64"/>
        <v>25373.512939858087</v>
      </c>
      <c r="BB65" s="336">
        <f t="shared" si="64"/>
        <v>25781.575793228552</v>
      </c>
      <c r="BC65" s="336">
        <f t="shared" si="64"/>
        <v>26222.283674868657</v>
      </c>
      <c r="BD65" s="336">
        <f t="shared" si="64"/>
        <v>26698.248187039968</v>
      </c>
      <c r="BE65" s="336">
        <f t="shared" si="64"/>
        <v>27212.289860184981</v>
      </c>
      <c r="BF65" s="336">
        <f t="shared" si="64"/>
        <v>27767.454867181601</v>
      </c>
      <c r="BG65" s="336">
        <f t="shared" si="64"/>
        <v>28367.033074737948</v>
      </c>
      <c r="BH65" s="336">
        <f t="shared" si="64"/>
        <v>29014.5775388988</v>
      </c>
      <c r="BI65" s="336">
        <f t="shared" si="64"/>
        <v>29713.925560192525</v>
      </c>
      <c r="BJ65" s="336">
        <f t="shared" si="64"/>
        <v>30469.221423189745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A5D0-6760-0943-92CB-7A72BE7D040C}">
  <dimension ref="B2:BK51"/>
  <sheetViews>
    <sheetView zoomScale="180" zoomScaleNormal="180" workbookViewId="0">
      <pane xSplit="3" ySplit="4" topLeftCell="D5" activePane="bottomRight" state="frozen"/>
      <selection activeCell="G10" sqref="G10"/>
      <selection pane="topRight" activeCell="G10" sqref="G10"/>
      <selection pane="bottomLeft" activeCell="G10" sqref="G10"/>
      <selection pane="bottomRight" activeCell="H7" sqref="H7"/>
    </sheetView>
    <sheetView workbookViewId="1"/>
  </sheetViews>
  <sheetFormatPr baseColWidth="10" defaultRowHeight="16" x14ac:dyDescent="0.2"/>
  <cols>
    <col min="1" max="1" width="6.6640625" customWidth="1"/>
    <col min="2" max="2" width="2.33203125" customWidth="1"/>
    <col min="3" max="3" width="39.6640625" bestFit="1" customWidth="1"/>
    <col min="4" max="4" width="11.5" bestFit="1" customWidth="1"/>
  </cols>
  <sheetData>
    <row r="2" spans="2:63" ht="20" customHeight="1" x14ac:dyDescent="0.25">
      <c r="B2" s="35" t="s">
        <v>215</v>
      </c>
      <c r="C2" s="157"/>
    </row>
    <row r="3" spans="2:63" ht="17" thickBot="1" x14ac:dyDescent="0.25"/>
    <row r="4" spans="2:63" ht="17" thickBot="1" x14ac:dyDescent="0.25">
      <c r="B4" s="64"/>
      <c r="C4" s="65"/>
      <c r="D4" s="264">
        <f>'Kiosk P&amp;L'!D4</f>
        <v>45292</v>
      </c>
      <c r="E4" s="265">
        <f>'Kiosk P&amp;L'!E4</f>
        <v>45323</v>
      </c>
      <c r="F4" s="265">
        <f>'Kiosk P&amp;L'!F4</f>
        <v>45352</v>
      </c>
      <c r="G4" s="265">
        <f>'Kiosk P&amp;L'!G4</f>
        <v>45383</v>
      </c>
      <c r="H4" s="60">
        <f>'Kiosk P&amp;L'!H4</f>
        <v>45413</v>
      </c>
      <c r="I4" s="60">
        <f>'Kiosk P&amp;L'!I4</f>
        <v>45444</v>
      </c>
      <c r="J4" s="60">
        <f>'Kiosk P&amp;L'!J4</f>
        <v>45474</v>
      </c>
      <c r="K4" s="60">
        <f>'Kiosk P&amp;L'!K4</f>
        <v>45505</v>
      </c>
      <c r="L4" s="60">
        <f>'Kiosk P&amp;L'!L4</f>
        <v>45536</v>
      </c>
      <c r="M4" s="60">
        <f>'Kiosk P&amp;L'!M4</f>
        <v>45566</v>
      </c>
      <c r="N4" s="60">
        <f>'Kiosk P&amp;L'!N4</f>
        <v>45597</v>
      </c>
      <c r="O4" s="61">
        <f>'Kiosk P&amp;L'!O4</f>
        <v>45627</v>
      </c>
      <c r="P4" s="60">
        <f>'Kiosk P&amp;L'!P4</f>
        <v>45658</v>
      </c>
      <c r="Q4" s="60">
        <f>'Kiosk P&amp;L'!Q4</f>
        <v>45689</v>
      </c>
      <c r="R4" s="60">
        <f>'Kiosk P&amp;L'!R4</f>
        <v>45717</v>
      </c>
      <c r="S4" s="60">
        <f>'Kiosk P&amp;L'!S4</f>
        <v>45748</v>
      </c>
      <c r="T4" s="60">
        <f>'Kiosk P&amp;L'!T4</f>
        <v>45778</v>
      </c>
      <c r="U4" s="60">
        <f>'Kiosk P&amp;L'!U4</f>
        <v>45809</v>
      </c>
      <c r="V4" s="60">
        <f>'Kiosk P&amp;L'!V4</f>
        <v>45839</v>
      </c>
      <c r="W4" s="60">
        <f>'Kiosk P&amp;L'!W4</f>
        <v>45870</v>
      </c>
      <c r="X4" s="60">
        <f>'Kiosk P&amp;L'!X4</f>
        <v>45901</v>
      </c>
      <c r="Y4" s="60">
        <f>'Kiosk P&amp;L'!Y4</f>
        <v>45931</v>
      </c>
      <c r="Z4" s="60">
        <f>'Kiosk P&amp;L'!Z4</f>
        <v>45962</v>
      </c>
      <c r="AA4" s="60">
        <f>'Kiosk P&amp;L'!AA4</f>
        <v>45992</v>
      </c>
      <c r="AB4" s="78">
        <f>'Kiosk P&amp;L'!AB4</f>
        <v>46023</v>
      </c>
      <c r="AC4" s="60">
        <f>'Kiosk P&amp;L'!AC4</f>
        <v>46054</v>
      </c>
      <c r="AD4" s="60">
        <f>'Kiosk P&amp;L'!AD4</f>
        <v>46082</v>
      </c>
      <c r="AE4" s="60">
        <f>'Kiosk P&amp;L'!AE4</f>
        <v>46113</v>
      </c>
      <c r="AF4" s="60">
        <f>'Kiosk P&amp;L'!AF4</f>
        <v>46143</v>
      </c>
      <c r="AG4" s="60">
        <f>'Kiosk P&amp;L'!AG4</f>
        <v>46174</v>
      </c>
      <c r="AH4" s="60">
        <f>'Kiosk P&amp;L'!AH4</f>
        <v>46204</v>
      </c>
      <c r="AI4" s="60">
        <f>'Kiosk P&amp;L'!AI4</f>
        <v>46235</v>
      </c>
      <c r="AJ4" s="60">
        <f>'Kiosk P&amp;L'!AJ4</f>
        <v>46266</v>
      </c>
      <c r="AK4" s="60">
        <f>'Kiosk P&amp;L'!AK4</f>
        <v>46296</v>
      </c>
      <c r="AL4" s="60">
        <f>'Kiosk P&amp;L'!AL4</f>
        <v>46327</v>
      </c>
      <c r="AM4" s="61">
        <f>'Kiosk P&amp;L'!AM4</f>
        <v>46357</v>
      </c>
      <c r="AN4" s="60">
        <f>'Kiosk P&amp;L'!AN4</f>
        <v>46388</v>
      </c>
      <c r="AO4" s="60">
        <f>'Kiosk P&amp;L'!AO4</f>
        <v>46419</v>
      </c>
      <c r="AP4" s="60">
        <f>'Kiosk P&amp;L'!AP4</f>
        <v>46447</v>
      </c>
      <c r="AQ4" s="60">
        <f>'Kiosk P&amp;L'!AQ4</f>
        <v>46478</v>
      </c>
      <c r="AR4" s="60">
        <f>'Kiosk P&amp;L'!AR4</f>
        <v>46508</v>
      </c>
      <c r="AS4" s="60">
        <f>'Kiosk P&amp;L'!AS4</f>
        <v>46539</v>
      </c>
      <c r="AT4" s="60">
        <f>'Kiosk P&amp;L'!AT4</f>
        <v>46569</v>
      </c>
      <c r="AU4" s="60">
        <f>'Kiosk P&amp;L'!AU4</f>
        <v>46600</v>
      </c>
      <c r="AV4" s="60">
        <f>'Kiosk P&amp;L'!AV4</f>
        <v>46631</v>
      </c>
      <c r="AW4" s="60">
        <f>'Kiosk P&amp;L'!AW4</f>
        <v>46661</v>
      </c>
      <c r="AX4" s="60">
        <f>'Kiosk P&amp;L'!AX4</f>
        <v>46692</v>
      </c>
      <c r="AY4" s="60">
        <f>'Kiosk P&amp;L'!AY4</f>
        <v>46722</v>
      </c>
      <c r="AZ4" s="78">
        <f>'Kiosk P&amp;L'!AZ4</f>
        <v>46753</v>
      </c>
      <c r="BA4" s="60">
        <f>'Kiosk P&amp;L'!BA4</f>
        <v>46784</v>
      </c>
      <c r="BB4" s="60">
        <f>'Kiosk P&amp;L'!BB4</f>
        <v>46813</v>
      </c>
      <c r="BC4" s="60">
        <f>'Kiosk P&amp;L'!BC4</f>
        <v>46844</v>
      </c>
      <c r="BD4" s="60">
        <f>'Kiosk P&amp;L'!BD4</f>
        <v>46874</v>
      </c>
      <c r="BE4" s="60">
        <f>'Kiosk P&amp;L'!BE4</f>
        <v>46905</v>
      </c>
      <c r="BF4" s="60">
        <f>'Kiosk P&amp;L'!BF4</f>
        <v>46935</v>
      </c>
      <c r="BG4" s="60">
        <f>'Kiosk P&amp;L'!BG4</f>
        <v>46966</v>
      </c>
      <c r="BH4" s="60">
        <f>'Kiosk P&amp;L'!BH4</f>
        <v>46997</v>
      </c>
      <c r="BI4" s="60">
        <f>'Kiosk P&amp;L'!BI4</f>
        <v>47027</v>
      </c>
      <c r="BJ4" s="60">
        <f>'Kiosk P&amp;L'!BJ4</f>
        <v>47058</v>
      </c>
      <c r="BK4" s="61">
        <f>'Kiosk P&amp;L'!BK4</f>
        <v>47088</v>
      </c>
    </row>
    <row r="5" spans="2:63" x14ac:dyDescent="0.2">
      <c r="B5" s="140" t="str">
        <f>'E-Commerce P&amp;L'!C5</f>
        <v>Revenue</v>
      </c>
      <c r="C5" s="141"/>
      <c r="D5" s="365"/>
      <c r="E5" s="366"/>
      <c r="F5" s="366"/>
      <c r="G5" s="366"/>
      <c r="H5" s="65"/>
      <c r="I5" s="65"/>
      <c r="J5" s="65"/>
      <c r="K5" s="65"/>
      <c r="L5" s="65"/>
      <c r="M5" s="65"/>
      <c r="N5" s="65"/>
      <c r="O5" s="141"/>
      <c r="AB5" s="64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141"/>
      <c r="AZ5" s="64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141"/>
    </row>
    <row r="6" spans="2:63" x14ac:dyDescent="0.2">
      <c r="B6" s="45"/>
      <c r="C6" s="3" t="s">
        <v>55</v>
      </c>
      <c r="D6" s="268">
        <f>'Kiosk P&amp;L'!D7</f>
        <v>23467.5</v>
      </c>
      <c r="E6" s="269">
        <f>'Kiosk P&amp;L'!E7</f>
        <v>24457.5</v>
      </c>
      <c r="F6" s="269">
        <f>'Kiosk P&amp;L'!F7</f>
        <v>38122</v>
      </c>
      <c r="G6" s="269">
        <f>'Kiosk P&amp;L'!G7</f>
        <v>44136</v>
      </c>
      <c r="H6" s="48">
        <f>'Kiosk P&amp;L'!H7</f>
        <v>46109.510086455331</v>
      </c>
      <c r="I6" s="48">
        <f>'Kiosk P&amp;L'!I7</f>
        <v>46109.510086455331</v>
      </c>
      <c r="J6" s="48">
        <f>'Kiosk P&amp;L'!J7</f>
        <v>46109.510086455331</v>
      </c>
      <c r="K6" s="48">
        <f>'Kiosk P&amp;L'!K7</f>
        <v>46109.510086455331</v>
      </c>
      <c r="L6" s="48">
        <f>'Kiosk P&amp;L'!L7</f>
        <v>46109.510086455331</v>
      </c>
      <c r="M6" s="48">
        <f>'Kiosk P&amp;L'!M7</f>
        <v>46109.510086455331</v>
      </c>
      <c r="N6" s="48">
        <f>'Kiosk P&amp;L'!N7</f>
        <v>46109.510086455331</v>
      </c>
      <c r="O6" s="66">
        <f>'Kiosk P&amp;L'!O7</f>
        <v>46109.510086455331</v>
      </c>
      <c r="P6" s="48">
        <f>'Kiosk P&amp;L'!P7</f>
        <v>46109.510086455331</v>
      </c>
      <c r="Q6" s="48">
        <f>'Kiosk P&amp;L'!Q7</f>
        <v>46109.510086455331</v>
      </c>
      <c r="R6" s="48">
        <f>'Kiosk P&amp;L'!R7</f>
        <v>46109.510086455331</v>
      </c>
      <c r="S6" s="48">
        <f>'Kiosk P&amp;L'!S7</f>
        <v>46109.510086455331</v>
      </c>
      <c r="T6" s="48">
        <f>'Kiosk P&amp;L'!T7</f>
        <v>46109.510086455331</v>
      </c>
      <c r="U6" s="48">
        <f>'Kiosk P&amp;L'!U7</f>
        <v>46109.510086455331</v>
      </c>
      <c r="V6" s="48">
        <f>'Kiosk P&amp;L'!V7</f>
        <v>46109.510086455331</v>
      </c>
      <c r="W6" s="48">
        <f>'Kiosk P&amp;L'!W7</f>
        <v>46109.510086455331</v>
      </c>
      <c r="X6" s="48">
        <f>'Kiosk P&amp;L'!X7</f>
        <v>46109.510086455331</v>
      </c>
      <c r="Y6" s="48">
        <f>'Kiosk P&amp;L'!Y7</f>
        <v>46109.510086455331</v>
      </c>
      <c r="Z6" s="48">
        <f>'Kiosk P&amp;L'!Z7</f>
        <v>46109.510086455331</v>
      </c>
      <c r="AA6" s="48">
        <f>'Kiosk P&amp;L'!AA7</f>
        <v>46109.510086455331</v>
      </c>
      <c r="AB6" s="79">
        <f>'Kiosk P&amp;L'!AB7</f>
        <v>0</v>
      </c>
      <c r="AC6" s="48">
        <f>'Kiosk P&amp;L'!AC7</f>
        <v>0</v>
      </c>
      <c r="AD6" s="48">
        <f>'Kiosk P&amp;L'!AD7</f>
        <v>0</v>
      </c>
      <c r="AE6" s="48">
        <f>'Kiosk P&amp;L'!AE7</f>
        <v>0</v>
      </c>
      <c r="AF6" s="48">
        <f>'Kiosk P&amp;L'!AF7</f>
        <v>0</v>
      </c>
      <c r="AG6" s="48">
        <f>'Kiosk P&amp;L'!AG7</f>
        <v>0</v>
      </c>
      <c r="AH6" s="48">
        <f>'Kiosk P&amp;L'!AH7</f>
        <v>0</v>
      </c>
      <c r="AI6" s="48">
        <f>'Kiosk P&amp;L'!AI7</f>
        <v>0</v>
      </c>
      <c r="AJ6" s="48">
        <f>'Kiosk P&amp;L'!AJ7</f>
        <v>0</v>
      </c>
      <c r="AK6" s="48">
        <f>'Kiosk P&amp;L'!AK7</f>
        <v>0</v>
      </c>
      <c r="AL6" s="48">
        <f>'Kiosk P&amp;L'!AL7</f>
        <v>0</v>
      </c>
      <c r="AM6" s="66">
        <f>'Kiosk P&amp;L'!AM7</f>
        <v>0</v>
      </c>
      <c r="AN6" s="48">
        <f>'Kiosk P&amp;L'!AN7</f>
        <v>0</v>
      </c>
      <c r="AO6" s="48">
        <f>'Kiosk P&amp;L'!AO7</f>
        <v>0</v>
      </c>
      <c r="AP6" s="48">
        <f>'Kiosk P&amp;L'!AP7</f>
        <v>0</v>
      </c>
      <c r="AQ6" s="48">
        <f>'Kiosk P&amp;L'!AQ7</f>
        <v>0</v>
      </c>
      <c r="AR6" s="48">
        <f>'Kiosk P&amp;L'!AR7</f>
        <v>0</v>
      </c>
      <c r="AS6" s="48">
        <f>'Kiosk P&amp;L'!AS7</f>
        <v>0</v>
      </c>
      <c r="AT6" s="48">
        <f>'Kiosk P&amp;L'!AT7</f>
        <v>0</v>
      </c>
      <c r="AU6" s="48">
        <f>'Kiosk P&amp;L'!AU7</f>
        <v>0</v>
      </c>
      <c r="AV6" s="48">
        <f>'Kiosk P&amp;L'!AV7</f>
        <v>0</v>
      </c>
      <c r="AW6" s="48">
        <f>'Kiosk P&amp;L'!AW7</f>
        <v>0</v>
      </c>
      <c r="AX6" s="48">
        <f>'Kiosk P&amp;L'!AX7</f>
        <v>0</v>
      </c>
      <c r="AY6" s="48">
        <f>'Kiosk P&amp;L'!AY7</f>
        <v>0</v>
      </c>
      <c r="AZ6" s="79">
        <f>'Kiosk P&amp;L'!AZ7</f>
        <v>0</v>
      </c>
      <c r="BA6" s="48">
        <f>'Kiosk P&amp;L'!BA7</f>
        <v>0</v>
      </c>
      <c r="BB6" s="48">
        <f>'Kiosk P&amp;L'!BB7</f>
        <v>0</v>
      </c>
      <c r="BC6" s="48">
        <f>'Kiosk P&amp;L'!BC7</f>
        <v>0</v>
      </c>
      <c r="BD6" s="48">
        <f>'Kiosk P&amp;L'!BD7</f>
        <v>0</v>
      </c>
      <c r="BE6" s="48">
        <f>'Kiosk P&amp;L'!BE7</f>
        <v>0</v>
      </c>
      <c r="BF6" s="48">
        <f>'Kiosk P&amp;L'!BF7</f>
        <v>0</v>
      </c>
      <c r="BG6" s="48">
        <f>'Kiosk P&amp;L'!BG7</f>
        <v>0</v>
      </c>
      <c r="BH6" s="48">
        <f>'Kiosk P&amp;L'!BH7</f>
        <v>0</v>
      </c>
      <c r="BI6" s="48">
        <f>'Kiosk P&amp;L'!BI7</f>
        <v>0</v>
      </c>
      <c r="BJ6" s="48">
        <f>'Kiosk P&amp;L'!BJ7</f>
        <v>0</v>
      </c>
      <c r="BK6" s="66">
        <f>'Kiosk P&amp;L'!BK7</f>
        <v>0</v>
      </c>
    </row>
    <row r="7" spans="2:63" x14ac:dyDescent="0.2">
      <c r="B7" s="2"/>
      <c r="C7" s="3" t="s">
        <v>26</v>
      </c>
      <c r="D7" s="268">
        <f>'Subscription Details'!C13</f>
        <v>0</v>
      </c>
      <c r="E7" s="269">
        <f>'Subscription Details'!D13</f>
        <v>0</v>
      </c>
      <c r="F7" s="269">
        <f>'Subscription Details'!E13</f>
        <v>0</v>
      </c>
      <c r="G7" s="269">
        <f>'Subscription Details'!F13</f>
        <v>4620</v>
      </c>
      <c r="H7" s="48">
        <f>'Subscription Details'!G13</f>
        <v>12495</v>
      </c>
      <c r="I7" s="48">
        <f>'Subscription Details'!H13</f>
        <v>20160</v>
      </c>
      <c r="J7" s="48">
        <f>'Subscription Details'!I13</f>
        <v>27685</v>
      </c>
      <c r="K7" s="48">
        <f>'Subscription Details'!J13</f>
        <v>35000</v>
      </c>
      <c r="L7" s="48">
        <f>'Subscription Details'!K13</f>
        <v>42140</v>
      </c>
      <c r="M7" s="48">
        <f>'Subscription Details'!L13</f>
        <v>49105</v>
      </c>
      <c r="N7" s="48">
        <f>'Subscription Details'!M13</f>
        <v>55895</v>
      </c>
      <c r="O7" s="66">
        <f>'Subscription Details'!N13</f>
        <v>62510</v>
      </c>
      <c r="P7" s="48">
        <f>'Subscription Details'!O13</f>
        <v>68950</v>
      </c>
      <c r="Q7" s="48">
        <f>'Subscription Details'!P13</f>
        <v>75285</v>
      </c>
      <c r="R7" s="48">
        <f>'Subscription Details'!Q13</f>
        <v>81445</v>
      </c>
      <c r="S7" s="48">
        <f>'Subscription Details'!R13</f>
        <v>87465</v>
      </c>
      <c r="T7" s="48">
        <f>'Subscription Details'!S13</f>
        <v>93345</v>
      </c>
      <c r="U7" s="48">
        <f>'Subscription Details'!T13</f>
        <v>99085</v>
      </c>
      <c r="V7" s="48">
        <f>'Subscription Details'!U13</f>
        <v>104685</v>
      </c>
      <c r="W7" s="48">
        <f>'Subscription Details'!V13</f>
        <v>110145</v>
      </c>
      <c r="X7" s="48">
        <f>'Subscription Details'!W13</f>
        <v>115500</v>
      </c>
      <c r="Y7" s="48">
        <f>'Subscription Details'!X13</f>
        <v>120715</v>
      </c>
      <c r="Z7" s="48">
        <f>'Subscription Details'!Y13</f>
        <v>125825</v>
      </c>
      <c r="AA7" s="48">
        <f>'Subscription Details'!Z13</f>
        <v>130830</v>
      </c>
      <c r="AB7" s="79">
        <f>'Subscription Details'!AA13</f>
        <v>135730</v>
      </c>
      <c r="AC7" s="48">
        <f>'Subscription Details'!AB13</f>
        <v>140525</v>
      </c>
      <c r="AD7" s="48">
        <f>'Subscription Details'!AC13</f>
        <v>145215</v>
      </c>
      <c r="AE7" s="48">
        <f>'Subscription Details'!AD13</f>
        <v>149800</v>
      </c>
      <c r="AF7" s="48">
        <f>'Subscription Details'!AE13</f>
        <v>154280</v>
      </c>
      <c r="AG7" s="48">
        <f>'Subscription Details'!AF13</f>
        <v>158690</v>
      </c>
      <c r="AH7" s="48">
        <f>'Subscription Details'!AG13</f>
        <v>163030</v>
      </c>
      <c r="AI7" s="48">
        <f>'Subscription Details'!AH13</f>
        <v>167300</v>
      </c>
      <c r="AJ7" s="48">
        <f>'Subscription Details'!AI13</f>
        <v>171430</v>
      </c>
      <c r="AK7" s="48">
        <f>'Subscription Details'!AJ13</f>
        <v>175525</v>
      </c>
      <c r="AL7" s="48">
        <f>'Subscription Details'!AK13</f>
        <v>179550</v>
      </c>
      <c r="AM7" s="66">
        <f>'Subscription Details'!AL13</f>
        <v>183505</v>
      </c>
      <c r="AN7" s="48">
        <f>'Subscription Details'!AM13</f>
        <v>187425</v>
      </c>
      <c r="AO7" s="48">
        <f>'Subscription Details'!AN13</f>
        <v>191275</v>
      </c>
      <c r="AP7" s="48">
        <f>'Subscription Details'!AO13</f>
        <v>195055</v>
      </c>
      <c r="AQ7" s="48">
        <f>'Subscription Details'!AP13</f>
        <v>198835</v>
      </c>
      <c r="AR7" s="48">
        <f>'Subscription Details'!AQ13</f>
        <v>202545</v>
      </c>
      <c r="AS7" s="48">
        <f>'Subscription Details'!AR13</f>
        <v>206220</v>
      </c>
      <c r="AT7" s="48">
        <f>'Subscription Details'!AS13</f>
        <v>209895</v>
      </c>
      <c r="AU7" s="48">
        <f>'Subscription Details'!AT13</f>
        <v>213535</v>
      </c>
      <c r="AV7" s="48">
        <f>'Subscription Details'!AU13</f>
        <v>217140</v>
      </c>
      <c r="AW7" s="48">
        <f>'Subscription Details'!AV13</f>
        <v>220745</v>
      </c>
      <c r="AX7" s="48">
        <f>'Subscription Details'!AW13</f>
        <v>224350</v>
      </c>
      <c r="AY7" s="48">
        <f>'Subscription Details'!AX13</f>
        <v>227955</v>
      </c>
      <c r="AZ7" s="79">
        <f>'Subscription Details'!AY13</f>
        <v>231560</v>
      </c>
      <c r="BA7" s="48">
        <f>'Subscription Details'!AZ13</f>
        <v>235235</v>
      </c>
      <c r="BB7" s="48">
        <f>'Subscription Details'!BA13</f>
        <v>238910</v>
      </c>
      <c r="BC7" s="48">
        <f>'Subscription Details'!BB13</f>
        <v>242620</v>
      </c>
      <c r="BD7" s="48">
        <f>'Subscription Details'!BC13</f>
        <v>246400</v>
      </c>
      <c r="BE7" s="48">
        <f>'Subscription Details'!BD13</f>
        <v>250215</v>
      </c>
      <c r="BF7" s="48">
        <f>'Subscription Details'!BE13</f>
        <v>254065</v>
      </c>
      <c r="BG7" s="48">
        <f>'Subscription Details'!BF13</f>
        <v>258020</v>
      </c>
      <c r="BH7" s="48">
        <f>'Subscription Details'!BG13</f>
        <v>262080</v>
      </c>
      <c r="BI7" s="48">
        <f>'Subscription Details'!BH13</f>
        <v>266245</v>
      </c>
      <c r="BJ7" s="48">
        <f>'Subscription Details'!BI13</f>
        <v>270515</v>
      </c>
      <c r="BK7" s="66">
        <f>'Subscription Details'!BJ13</f>
        <v>274925</v>
      </c>
    </row>
    <row r="8" spans="2:63" x14ac:dyDescent="0.2">
      <c r="B8" s="2"/>
      <c r="C8" s="3" t="s">
        <v>27</v>
      </c>
      <c r="D8" s="268">
        <f>'E-Commerce P&amp;L'!E7</f>
        <v>0</v>
      </c>
      <c r="E8" s="269">
        <f>'E-Commerce P&amp;L'!F7</f>
        <v>0</v>
      </c>
      <c r="F8" s="269">
        <f>'E-Commerce P&amp;L'!G7</f>
        <v>0</v>
      </c>
      <c r="G8" s="269">
        <f>'E-Commerce P&amp;L'!H7</f>
        <v>4259.08</v>
      </c>
      <c r="H8" s="48">
        <f>'E-Commerce P&amp;L'!I7</f>
        <v>7431.0334999999995</v>
      </c>
      <c r="I8" s="48">
        <f>'E-Commerce P&amp;L'!J7</f>
        <v>7435.9161800000002</v>
      </c>
      <c r="J8" s="48">
        <f>'E-Commerce P&amp;L'!K7</f>
        <v>7441.1894744000001</v>
      </c>
      <c r="K8" s="48">
        <f>'E-Commerce P&amp;L'!L7</f>
        <v>7446.8846323520002</v>
      </c>
      <c r="L8" s="48">
        <f>'E-Commerce P&amp;L'!M7</f>
        <v>7453.0354029401597</v>
      </c>
      <c r="M8" s="48">
        <f>'E-Commerce P&amp;L'!N7</f>
        <v>7459.6782351753727</v>
      </c>
      <c r="N8" s="48">
        <f>'E-Commerce P&amp;L'!O7</f>
        <v>7466.8524939894023</v>
      </c>
      <c r="O8" s="66">
        <f>'E-Commerce P&amp;L'!P7</f>
        <v>7474.6006935085552</v>
      </c>
      <c r="P8" s="48">
        <f>'E-Commerce P&amp;L'!Q7</f>
        <v>7482.9687489892394</v>
      </c>
      <c r="Q8" s="48">
        <f>'E-Commerce P&amp;L'!R7</f>
        <v>7492.0062489083784</v>
      </c>
      <c r="R8" s="48">
        <f>'E-Commerce P&amp;L'!S7</f>
        <v>7501.7667488210491</v>
      </c>
      <c r="S8" s="48">
        <f>'E-Commerce P&amp;L'!T7</f>
        <v>7512.3080887267324</v>
      </c>
      <c r="T8" s="48">
        <f>'E-Commerce P&amp;L'!U7</f>
        <v>7523.6927358248713</v>
      </c>
      <c r="U8" s="48">
        <f>'E-Commerce P&amp;L'!V7</f>
        <v>7535.9881546908609</v>
      </c>
      <c r="V8" s="48">
        <f>'E-Commerce P&amp;L'!W7</f>
        <v>7549.2672070661301</v>
      </c>
      <c r="W8" s="48">
        <f>'E-Commerce P&amp;L'!X7</f>
        <v>7563.6085836314205</v>
      </c>
      <c r="X8" s="48">
        <f>'E-Commerce P&amp;L'!Y7</f>
        <v>7579.097270321934</v>
      </c>
      <c r="Y8" s="48">
        <f>'E-Commerce P&amp;L'!Z7</f>
        <v>7595.8250519476887</v>
      </c>
      <c r="Z8" s="48">
        <f>'E-Commerce P&amp;L'!AA7</f>
        <v>7613.8910561035036</v>
      </c>
      <c r="AA8" s="48">
        <f>'E-Commerce P&amp;L'!AB7</f>
        <v>7633.4023405917842</v>
      </c>
      <c r="AB8" s="79">
        <f>'E-Commerce P&amp;L'!AC7</f>
        <v>7654.4745278391265</v>
      </c>
      <c r="AC8" s="48">
        <f>'E-Commerce P&amp;L'!AD7</f>
        <v>7677.232490066257</v>
      </c>
      <c r="AD8" s="48">
        <f>'E-Commerce P&amp;L'!AE7</f>
        <v>7701.8110892715576</v>
      </c>
      <c r="AE8" s="48">
        <f>'E-Commerce P&amp;L'!AF7</f>
        <v>7728.3559764132824</v>
      </c>
      <c r="AF8" s="48">
        <f>'E-Commerce P&amp;L'!AG7</f>
        <v>7757.0244545263449</v>
      </c>
      <c r="AG8" s="48">
        <f>'E-Commerce P&amp;L'!AH7</f>
        <v>7787.9864108884522</v>
      </c>
      <c r="AH8" s="48">
        <f>'E-Commerce P&amp;L'!AI7</f>
        <v>7821.4253237595285</v>
      </c>
      <c r="AI8" s="48">
        <f>'E-Commerce P&amp;L'!AJ7</f>
        <v>7857.539349660291</v>
      </c>
      <c r="AJ8" s="48">
        <f>'E-Commerce P&amp;L'!AK7</f>
        <v>7896.5424976331142</v>
      </c>
      <c r="AK8" s="48">
        <f>'E-Commerce P&amp;L'!AL7</f>
        <v>7938.6658974437632</v>
      </c>
      <c r="AL8" s="48">
        <f>'E-Commerce P&amp;L'!AM7</f>
        <v>7984.1591692392649</v>
      </c>
      <c r="AM8" s="66">
        <f>'E-Commerce P&amp;L'!AN7</f>
        <v>8033.2919027784055</v>
      </c>
      <c r="AN8" s="48">
        <f>'E-Commerce P&amp;L'!AO7</f>
        <v>8086.355255000678</v>
      </c>
      <c r="AO8" s="48">
        <f>'E-Commerce P&amp;L'!AP7</f>
        <v>8143.6636754007322</v>
      </c>
      <c r="AP8" s="48">
        <f>'E-Commerce P&amp;L'!AQ7</f>
        <v>8205.556769432791</v>
      </c>
      <c r="AQ8" s="48">
        <f>'E-Commerce P&amp;L'!AR7</f>
        <v>8272.401310987414</v>
      </c>
      <c r="AR8" s="48">
        <f>'E-Commerce P&amp;L'!AS7</f>
        <v>8344.5934158664077</v>
      </c>
      <c r="AS8" s="48">
        <f>'E-Commerce P&amp;L'!AT7</f>
        <v>8422.5608891357206</v>
      </c>
      <c r="AT8" s="48">
        <f>'E-Commerce P&amp;L'!AU7</f>
        <v>8506.7657602665786</v>
      </c>
      <c r="AU8" s="48">
        <f>'E-Commerce P&amp;L'!AV7</f>
        <v>8597.7070210879046</v>
      </c>
      <c r="AV8" s="48">
        <f>'E-Commerce P&amp;L'!AW7</f>
        <v>8695.9235827749362</v>
      </c>
      <c r="AW8" s="48">
        <f>'E-Commerce P&amp;L'!AX7</f>
        <v>8801.9974693969325</v>
      </c>
      <c r="AX8" s="48">
        <f>'E-Commerce P&amp;L'!AY7</f>
        <v>8916.5572669486864</v>
      </c>
      <c r="AY8" s="48">
        <f>'E-Commerce P&amp;L'!AZ7</f>
        <v>9040.2818483045812</v>
      </c>
      <c r="AZ8" s="79">
        <f>'E-Commerce P&amp;L'!BA7</f>
        <v>9173.9043961689476</v>
      </c>
      <c r="BA8" s="48">
        <f>'E-Commerce P&amp;L'!BB7</f>
        <v>9318.2167478624633</v>
      </c>
      <c r="BB8" s="48">
        <f>'E-Commerce P&amp;L'!BC7</f>
        <v>9474.0740876914606</v>
      </c>
      <c r="BC8" s="48">
        <f>'E-Commerce P&amp;L'!BD7</f>
        <v>9642.4000147067782</v>
      </c>
      <c r="BD8" s="48">
        <f>'E-Commerce P&amp;L'!BE7</f>
        <v>9824.19201588332</v>
      </c>
      <c r="BE8" s="48">
        <f>'E-Commerce P&amp;L'!BF7</f>
        <v>10020.527377153987</v>
      </c>
      <c r="BF8" s="48">
        <f>'E-Commerce P&amp;L'!BG7</f>
        <v>10232.569567326305</v>
      </c>
      <c r="BG8" s="48">
        <f>'E-Commerce P&amp;L'!BH7</f>
        <v>10461.575132712409</v>
      </c>
      <c r="BH8" s="48">
        <f>'E-Commerce P&amp;L'!BI7</f>
        <v>10708.901143329404</v>
      </c>
      <c r="BI8" s="48">
        <f>'E-Commerce P&amp;L'!BJ7</f>
        <v>10976.013234795755</v>
      </c>
      <c r="BJ8" s="48">
        <f>'E-Commerce P&amp;L'!BK7</f>
        <v>11264.494293579417</v>
      </c>
      <c r="BK8" s="66">
        <f>'E-Commerce P&amp;L'!BL7</f>
        <v>11576.05383706577</v>
      </c>
    </row>
    <row r="9" spans="2:63" x14ac:dyDescent="0.2">
      <c r="B9" s="2"/>
      <c r="C9" s="3" t="s">
        <v>112</v>
      </c>
      <c r="D9" s="270">
        <f>AveragePagesPerVisit*AverageCPMAdsSold*'Marketing Detail'!C65/1000</f>
        <v>0</v>
      </c>
      <c r="E9" s="271">
        <f>AveragePagesPerVisit*AverageCPMAdsSold*'Marketing Detail'!D65/1000</f>
        <v>0</v>
      </c>
      <c r="F9" s="271">
        <f>AveragePagesPerVisit*AverageCPMAdsSold*'Marketing Detail'!E65/1000</f>
        <v>0</v>
      </c>
      <c r="G9" s="271">
        <f>AveragePagesPerVisit*AverageCPMAdsSold*'Marketing Detail'!F65/1000</f>
        <v>52.185570894332322</v>
      </c>
      <c r="H9" s="38">
        <f>AveragePagesPerVisit*AverageCPMAdsSold*'Marketing Detail'!G65/1000</f>
        <v>98.019298909090907</v>
      </c>
      <c r="I9" s="38">
        <f>AveragePagesPerVisit*AverageCPMAdsSold*'Marketing Detail'!H65/1000</f>
        <v>98.076115549090915</v>
      </c>
      <c r="J9" s="38">
        <f>AveragePagesPerVisit*AverageCPMAdsSold*'Marketing Detail'!I65/1000</f>
        <v>98.137477520290929</v>
      </c>
      <c r="K9" s="38">
        <f>AveragePagesPerVisit*AverageCPMAdsSold*'Marketing Detail'!J65/1000</f>
        <v>98.203748449186932</v>
      </c>
      <c r="L9" s="38">
        <f>AveragePagesPerVisit*AverageCPMAdsSold*'Marketing Detail'!K65/1000</f>
        <v>98.275321052394602</v>
      </c>
      <c r="M9" s="38">
        <f>AveragePagesPerVisit*AverageCPMAdsSold*'Marketing Detail'!L65/1000</f>
        <v>98.352619463858886</v>
      </c>
      <c r="N9" s="38">
        <f>AveragePagesPerVisit*AverageCPMAdsSold*'Marketing Detail'!M65/1000</f>
        <v>98.436101748240347</v>
      </c>
      <c r="O9" s="84">
        <f>AveragePagesPerVisit*AverageCPMAdsSold*'Marketing Detail'!N65/1000</f>
        <v>98.526262615372275</v>
      </c>
      <c r="P9" s="38">
        <f>AveragePagesPerVisit*AverageCPMAdsSold*'Marketing Detail'!O65/1000</f>
        <v>98.623636351874794</v>
      </c>
      <c r="Q9" s="38">
        <f>AveragePagesPerVisit*AverageCPMAdsSold*'Marketing Detail'!P65/1000</f>
        <v>98.728799987297506</v>
      </c>
      <c r="R9" s="38">
        <f>AveragePagesPerVisit*AverageCPMAdsSold*'Marketing Detail'!Q65/1000</f>
        <v>98.842376713554046</v>
      </c>
      <c r="S9" s="38">
        <f>AveragePagesPerVisit*AverageCPMAdsSold*'Marketing Detail'!R65/1000</f>
        <v>98.965039577911085</v>
      </c>
      <c r="T9" s="38">
        <f>AveragePagesPerVisit*AverageCPMAdsSold*'Marketing Detail'!S65/1000</f>
        <v>99.097515471416699</v>
      </c>
      <c r="U9" s="38">
        <f>AveragePagesPerVisit*AverageCPMAdsSold*'Marketing Detail'!T65/1000</f>
        <v>99.240589436402743</v>
      </c>
      <c r="V9" s="38">
        <f>AveragePagesPerVisit*AverageCPMAdsSold*'Marketing Detail'!U65/1000</f>
        <v>99.395109318587714</v>
      </c>
      <c r="W9" s="38">
        <f>AveragePagesPerVisit*AverageCPMAdsSold*'Marketing Detail'!V65/1000</f>
        <v>99.561990791347441</v>
      </c>
      <c r="X9" s="38">
        <f>AveragePagesPerVisit*AverageCPMAdsSold*'Marketing Detail'!W65/1000</f>
        <v>99.742222781927964</v>
      </c>
      <c r="Y9" s="38">
        <f>AveragePagesPerVisit*AverageCPMAdsSold*'Marketing Detail'!X65/1000</f>
        <v>99.936873331754938</v>
      </c>
      <c r="Z9" s="38">
        <f>AveragePagesPerVisit*AverageCPMAdsSold*'Marketing Detail'!Y65/1000</f>
        <v>100.14709592556805</v>
      </c>
      <c r="AA9" s="38">
        <f>AveragePagesPerVisit*AverageCPMAdsSold*'Marketing Detail'!Z65/1000</f>
        <v>100.37413632688623</v>
      </c>
      <c r="AB9" s="83">
        <f>AveragePagesPerVisit*AverageCPMAdsSold*'Marketing Detail'!AA65/1000</f>
        <v>100.61933996030986</v>
      </c>
      <c r="AC9" s="38">
        <f>AveragePagesPerVisit*AverageCPMAdsSold*'Marketing Detail'!AB65/1000</f>
        <v>100.88415988440737</v>
      </c>
      <c r="AD9" s="38">
        <f>AveragePagesPerVisit*AverageCPMAdsSold*'Marketing Detail'!AC65/1000</f>
        <v>101.17016540243267</v>
      </c>
      <c r="AE9" s="38">
        <f>AveragePagesPerVisit*AverageCPMAdsSold*'Marketing Detail'!AD65/1000</f>
        <v>101.47905136190003</v>
      </c>
      <c r="AF9" s="38">
        <f>AveragePagesPerVisit*AverageCPMAdsSold*'Marketing Detail'!AE65/1000</f>
        <v>101.81264819812476</v>
      </c>
      <c r="AG9" s="38">
        <f>AveragePagesPerVisit*AverageCPMAdsSold*'Marketing Detail'!AF65/1000</f>
        <v>102.17293278124745</v>
      </c>
      <c r="AH9" s="38">
        <f>AveragePagesPerVisit*AverageCPMAdsSold*'Marketing Detail'!AG65/1000</f>
        <v>102.56204013101997</v>
      </c>
      <c r="AI9" s="38">
        <f>AveragePagesPerVisit*AverageCPMAdsSold*'Marketing Detail'!AH65/1000</f>
        <v>102.9822760687743</v>
      </c>
      <c r="AJ9" s="38">
        <f>AveragePagesPerVisit*AverageCPMAdsSold*'Marketing Detail'!AI65/1000</f>
        <v>103.43613088154899</v>
      </c>
      <c r="AK9" s="38">
        <f>AveragePagesPerVisit*AverageCPMAdsSold*'Marketing Detail'!AJ65/1000</f>
        <v>103.92629407934562</v>
      </c>
      <c r="AL9" s="38">
        <f>AveragePagesPerVisit*AverageCPMAdsSold*'Marketing Detail'!AK65/1000</f>
        <v>104.45567033296599</v>
      </c>
      <c r="AM9" s="84">
        <f>AveragePagesPerVisit*AverageCPMAdsSold*'Marketing Detail'!AL65/1000</f>
        <v>105.027396686876</v>
      </c>
      <c r="AN9" s="38">
        <f>AveragePagesPerVisit*AverageCPMAdsSold*'Marketing Detail'!AM65/1000</f>
        <v>105.64486114909882</v>
      </c>
      <c r="AO9" s="38">
        <f>AveragePagesPerVisit*AverageCPMAdsSold*'Marketing Detail'!AN65/1000</f>
        <v>106.31172276829945</v>
      </c>
      <c r="AP9" s="38">
        <f>AveragePagesPerVisit*AverageCPMAdsSold*'Marketing Detail'!AO65/1000</f>
        <v>107.03193331703612</v>
      </c>
      <c r="AQ9" s="38">
        <f>AveragePagesPerVisit*AverageCPMAdsSold*'Marketing Detail'!AP65/1000</f>
        <v>107.80976070967174</v>
      </c>
      <c r="AR9" s="38">
        <f>AveragePagesPerVisit*AverageCPMAdsSold*'Marketing Detail'!AQ65/1000</f>
        <v>108.64981429371819</v>
      </c>
      <c r="AS9" s="38">
        <f>AveragePagesPerVisit*AverageCPMAdsSold*'Marketing Detail'!AR65/1000</f>
        <v>109.5570721644884</v>
      </c>
      <c r="AT9" s="38">
        <f>AveragePagesPerVisit*AverageCPMAdsSold*'Marketing Detail'!AS65/1000</f>
        <v>110.5369106649202</v>
      </c>
      <c r="AU9" s="38">
        <f>AveragePagesPerVisit*AverageCPMAdsSold*'Marketing Detail'!AT65/1000</f>
        <v>111.59513624538654</v>
      </c>
      <c r="AV9" s="38">
        <f>AveragePagesPerVisit*AverageCPMAdsSold*'Marketing Detail'!AU65/1000</f>
        <v>112.73801987229018</v>
      </c>
      <c r="AW9" s="38">
        <f>AveragePagesPerVisit*AverageCPMAdsSold*'Marketing Detail'!AV65/1000</f>
        <v>113.97233418934613</v>
      </c>
      <c r="AX9" s="38">
        <f>AveragePagesPerVisit*AverageCPMAdsSold*'Marketing Detail'!AW65/1000</f>
        <v>115.30539365176655</v>
      </c>
      <c r="AY9" s="38">
        <f>AveragePagesPerVisit*AverageCPMAdsSold*'Marketing Detail'!AX65/1000</f>
        <v>116.7450978711806</v>
      </c>
      <c r="AZ9" s="83">
        <f>AveragePagesPerVisit*AverageCPMAdsSold*'Marketing Detail'!AY65/1000</f>
        <v>118.29997842814778</v>
      </c>
      <c r="BA9" s="38">
        <f>AveragePagesPerVisit*AverageCPMAdsSold*'Marketing Detail'!AZ65/1000</f>
        <v>119.97924942967232</v>
      </c>
      <c r="BB9" s="38">
        <f>AveragePagesPerVisit*AverageCPMAdsSold*'Marketing Detail'!BA65/1000</f>
        <v>121.79286211131883</v>
      </c>
      <c r="BC9" s="38">
        <f>AveragePagesPerVisit*AverageCPMAdsSold*'Marketing Detail'!BB65/1000</f>
        <v>123.75156380749706</v>
      </c>
      <c r="BD9" s="38">
        <f>AveragePagesPerVisit*AverageCPMAdsSold*'Marketing Detail'!BC65/1000</f>
        <v>125.86696163936958</v>
      </c>
      <c r="BE9" s="38">
        <f>AveragePagesPerVisit*AverageCPMAdsSold*'Marketing Detail'!BD65/1000</f>
        <v>128.15159129779187</v>
      </c>
      <c r="BF9" s="38">
        <f>AveragePagesPerVisit*AverageCPMAdsSold*'Marketing Detail'!BE65/1000</f>
        <v>130.61899132888794</v>
      </c>
      <c r="BG9" s="38">
        <f>AveragePagesPerVisit*AverageCPMAdsSold*'Marketing Detail'!BF65/1000</f>
        <v>133.28378336247169</v>
      </c>
      <c r="BH9" s="38">
        <f>AveragePagesPerVisit*AverageCPMAdsSold*'Marketing Detail'!BG65/1000</f>
        <v>136.16175875874217</v>
      </c>
      <c r="BI9" s="38">
        <f>AveragePagesPerVisit*AverageCPMAdsSold*'Marketing Detail'!BH65/1000</f>
        <v>139.26997218671426</v>
      </c>
      <c r="BJ9" s="38">
        <f>AveragePagesPerVisit*AverageCPMAdsSold*'Marketing Detail'!BI65/1000</f>
        <v>142.62684268892414</v>
      </c>
      <c r="BK9" s="84">
        <f>AveragePagesPerVisit*AverageCPMAdsSold*'Marketing Detail'!BJ65/1000</f>
        <v>146.25226283131079</v>
      </c>
    </row>
    <row r="10" spans="2:63" s="1" customFormat="1" x14ac:dyDescent="0.2">
      <c r="B10" s="45"/>
      <c r="C10" s="142" t="s">
        <v>29</v>
      </c>
      <c r="D10" s="279">
        <f>SUM(D6:D9)</f>
        <v>23467.5</v>
      </c>
      <c r="E10" s="280">
        <f t="shared" ref="E10:BK10" si="0">SUM(E6:E9)</f>
        <v>24457.5</v>
      </c>
      <c r="F10" s="280">
        <f t="shared" si="0"/>
        <v>38122</v>
      </c>
      <c r="G10" s="280">
        <f t="shared" si="0"/>
        <v>53067.265570894335</v>
      </c>
      <c r="H10" s="20">
        <f t="shared" si="0"/>
        <v>66133.562885364416</v>
      </c>
      <c r="I10" s="20">
        <f t="shared" si="0"/>
        <v>73803.502382004415</v>
      </c>
      <c r="J10" s="20">
        <f t="shared" si="0"/>
        <v>81333.837038375612</v>
      </c>
      <c r="K10" s="20">
        <f t="shared" si="0"/>
        <v>88654.59846725651</v>
      </c>
      <c r="L10" s="20">
        <f t="shared" si="0"/>
        <v>95800.820810447884</v>
      </c>
      <c r="M10" s="20">
        <f t="shared" si="0"/>
        <v>102772.54094109456</v>
      </c>
      <c r="N10" s="20">
        <f t="shared" si="0"/>
        <v>109569.79868219297</v>
      </c>
      <c r="O10" s="67">
        <f t="shared" si="0"/>
        <v>116192.63704257926</v>
      </c>
      <c r="P10" s="20">
        <f t="shared" si="0"/>
        <v>122641.10247179643</v>
      </c>
      <c r="Q10" s="20">
        <f t="shared" si="0"/>
        <v>128985.245135351</v>
      </c>
      <c r="R10" s="20">
        <f t="shared" si="0"/>
        <v>135155.11921198992</v>
      </c>
      <c r="S10" s="20">
        <f t="shared" si="0"/>
        <v>141185.78321475998</v>
      </c>
      <c r="T10" s="20">
        <f t="shared" si="0"/>
        <v>147077.30033775163</v>
      </c>
      <c r="U10" s="20">
        <f t="shared" si="0"/>
        <v>152829.73883058259</v>
      </c>
      <c r="V10" s="20">
        <f t="shared" si="0"/>
        <v>158443.17240284002</v>
      </c>
      <c r="W10" s="20">
        <f t="shared" si="0"/>
        <v>163917.6806608781</v>
      </c>
      <c r="X10" s="20">
        <f t="shared" si="0"/>
        <v>169288.3495795592</v>
      </c>
      <c r="Y10" s="20">
        <f t="shared" si="0"/>
        <v>174520.27201173478</v>
      </c>
      <c r="Z10" s="20">
        <f t="shared" si="0"/>
        <v>179648.54823848442</v>
      </c>
      <c r="AA10" s="20">
        <f t="shared" si="0"/>
        <v>184673.28656337401</v>
      </c>
      <c r="AB10" s="80">
        <f t="shared" si="0"/>
        <v>143485.09386779944</v>
      </c>
      <c r="AC10" s="20">
        <f t="shared" si="0"/>
        <v>148303.11664995068</v>
      </c>
      <c r="AD10" s="20">
        <f t="shared" si="0"/>
        <v>153017.981254674</v>
      </c>
      <c r="AE10" s="20">
        <f t="shared" si="0"/>
        <v>157629.8350277752</v>
      </c>
      <c r="AF10" s="20">
        <f t="shared" si="0"/>
        <v>162138.83710272447</v>
      </c>
      <c r="AG10" s="20">
        <f t="shared" si="0"/>
        <v>166580.15934366971</v>
      </c>
      <c r="AH10" s="20">
        <f t="shared" si="0"/>
        <v>170953.98736389054</v>
      </c>
      <c r="AI10" s="20">
        <f t="shared" si="0"/>
        <v>175260.52162572904</v>
      </c>
      <c r="AJ10" s="20">
        <f t="shared" si="0"/>
        <v>179429.97862851465</v>
      </c>
      <c r="AK10" s="20">
        <f t="shared" si="0"/>
        <v>183567.59219152312</v>
      </c>
      <c r="AL10" s="20">
        <f t="shared" si="0"/>
        <v>187638.61483957223</v>
      </c>
      <c r="AM10" s="67">
        <f t="shared" si="0"/>
        <v>191643.31929946528</v>
      </c>
      <c r="AN10" s="20">
        <f t="shared" si="0"/>
        <v>195617.00011614978</v>
      </c>
      <c r="AO10" s="20">
        <f t="shared" si="0"/>
        <v>199524.97539816902</v>
      </c>
      <c r="AP10" s="20">
        <f t="shared" si="0"/>
        <v>203367.58870274984</v>
      </c>
      <c r="AQ10" s="20">
        <f t="shared" si="0"/>
        <v>207215.21107169709</v>
      </c>
      <c r="AR10" s="20">
        <f t="shared" si="0"/>
        <v>210998.24323016012</v>
      </c>
      <c r="AS10" s="20">
        <f t="shared" si="0"/>
        <v>214752.11796130022</v>
      </c>
      <c r="AT10" s="20">
        <f t="shared" si="0"/>
        <v>218512.3026709315</v>
      </c>
      <c r="AU10" s="20">
        <f t="shared" si="0"/>
        <v>222244.3021573333</v>
      </c>
      <c r="AV10" s="20">
        <f t="shared" si="0"/>
        <v>225948.66160264722</v>
      </c>
      <c r="AW10" s="20">
        <f t="shared" si="0"/>
        <v>229660.96980358628</v>
      </c>
      <c r="AX10" s="20">
        <f t="shared" si="0"/>
        <v>233381.86266060045</v>
      </c>
      <c r="AY10" s="20">
        <f t="shared" si="0"/>
        <v>237112.02694617576</v>
      </c>
      <c r="AZ10" s="80">
        <f t="shared" si="0"/>
        <v>240852.20437459709</v>
      </c>
      <c r="BA10" s="20">
        <f t="shared" si="0"/>
        <v>244673.19599729215</v>
      </c>
      <c r="BB10" s="20">
        <f t="shared" si="0"/>
        <v>248505.86694980279</v>
      </c>
      <c r="BC10" s="20">
        <f t="shared" si="0"/>
        <v>252386.15157851425</v>
      </c>
      <c r="BD10" s="20">
        <f t="shared" si="0"/>
        <v>256350.05897752268</v>
      </c>
      <c r="BE10" s="20">
        <f t="shared" si="0"/>
        <v>260363.67896845177</v>
      </c>
      <c r="BF10" s="20">
        <f t="shared" si="0"/>
        <v>264428.18855865515</v>
      </c>
      <c r="BG10" s="20">
        <f t="shared" si="0"/>
        <v>268614.85891607491</v>
      </c>
      <c r="BH10" s="20">
        <f t="shared" si="0"/>
        <v>272925.06290208816</v>
      </c>
      <c r="BI10" s="20">
        <f t="shared" si="0"/>
        <v>277360.28320698248</v>
      </c>
      <c r="BJ10" s="20">
        <f t="shared" si="0"/>
        <v>281922.12113626837</v>
      </c>
      <c r="BK10" s="67">
        <f t="shared" si="0"/>
        <v>286647.30609989708</v>
      </c>
    </row>
    <row r="11" spans="2:63" x14ac:dyDescent="0.2">
      <c r="B11" s="2"/>
      <c r="C11" s="3"/>
      <c r="D11" s="274"/>
      <c r="E11" s="275"/>
      <c r="F11" s="275"/>
      <c r="G11" s="275"/>
      <c r="O11" s="3"/>
      <c r="AB11" s="2"/>
      <c r="AM11" s="3"/>
      <c r="AZ11" s="2"/>
      <c r="BK11" s="3"/>
    </row>
    <row r="12" spans="2:63" x14ac:dyDescent="0.2">
      <c r="B12" s="45" t="s">
        <v>30</v>
      </c>
      <c r="C12" s="3"/>
      <c r="D12" s="274"/>
      <c r="E12" s="275"/>
      <c r="F12" s="275"/>
      <c r="G12" s="275"/>
      <c r="O12" s="3"/>
      <c r="AB12" s="2"/>
      <c r="AM12" s="3"/>
      <c r="AZ12" s="2"/>
      <c r="BK12" s="3"/>
    </row>
    <row r="13" spans="2:63" x14ac:dyDescent="0.2">
      <c r="B13" s="45"/>
      <c r="C13" s="3" t="s">
        <v>56</v>
      </c>
      <c r="D13" s="268">
        <f>'Kiosk P&amp;L'!D9</f>
        <v>7234</v>
      </c>
      <c r="E13" s="269">
        <f>'Kiosk P&amp;L'!E9</f>
        <v>7563</v>
      </c>
      <c r="F13" s="269">
        <f>'Kiosk P&amp;L'!F9</f>
        <v>8231</v>
      </c>
      <c r="G13" s="269">
        <f>'Kiosk P&amp;L'!G9</f>
        <v>8563</v>
      </c>
      <c r="H13" s="48">
        <f>'Kiosk P&amp;L'!H9</f>
        <v>8876.08069164265</v>
      </c>
      <c r="I13" s="48">
        <f>'Kiosk P&amp;L'!I9</f>
        <v>8876.08069164265</v>
      </c>
      <c r="J13" s="48">
        <f>'Kiosk P&amp;L'!J9</f>
        <v>8876.08069164265</v>
      </c>
      <c r="K13" s="48">
        <f>'Kiosk P&amp;L'!K9</f>
        <v>8876.08069164265</v>
      </c>
      <c r="L13" s="48">
        <f>'Kiosk P&amp;L'!L9</f>
        <v>8876.08069164265</v>
      </c>
      <c r="M13" s="48">
        <f>'Kiosk P&amp;L'!M9</f>
        <v>8876.08069164265</v>
      </c>
      <c r="N13" s="48">
        <f>'Kiosk P&amp;L'!N9</f>
        <v>8876.08069164265</v>
      </c>
      <c r="O13" s="66">
        <f>'Kiosk P&amp;L'!O9</f>
        <v>8876.08069164265</v>
      </c>
      <c r="P13" s="48">
        <f>'Kiosk P&amp;L'!P9</f>
        <v>8876.08069164265</v>
      </c>
      <c r="Q13" s="48">
        <f>'Kiosk P&amp;L'!Q9</f>
        <v>8876.08069164265</v>
      </c>
      <c r="R13" s="48">
        <f>'Kiosk P&amp;L'!R9</f>
        <v>8876.08069164265</v>
      </c>
      <c r="S13" s="48">
        <f>'Kiosk P&amp;L'!S9</f>
        <v>8876.08069164265</v>
      </c>
      <c r="T13" s="48">
        <f>'Kiosk P&amp;L'!T9</f>
        <v>8876.08069164265</v>
      </c>
      <c r="U13" s="48">
        <f>'Kiosk P&amp;L'!U9</f>
        <v>8876.08069164265</v>
      </c>
      <c r="V13" s="48">
        <f>'Kiosk P&amp;L'!V9</f>
        <v>8876.08069164265</v>
      </c>
      <c r="W13" s="48">
        <f>'Kiosk P&amp;L'!W9</f>
        <v>8876.08069164265</v>
      </c>
      <c r="X13" s="48">
        <f>'Kiosk P&amp;L'!X9</f>
        <v>8876.08069164265</v>
      </c>
      <c r="Y13" s="48">
        <f>'Kiosk P&amp;L'!Y9</f>
        <v>8876.08069164265</v>
      </c>
      <c r="Z13" s="48">
        <f>'Kiosk P&amp;L'!Z9</f>
        <v>8876.08069164265</v>
      </c>
      <c r="AA13" s="48">
        <f>'Kiosk P&amp;L'!AA9</f>
        <v>8876.08069164265</v>
      </c>
      <c r="AB13" s="79">
        <f>'Kiosk P&amp;L'!AB9</f>
        <v>0</v>
      </c>
      <c r="AC13" s="48">
        <f>'Kiosk P&amp;L'!AC9</f>
        <v>0</v>
      </c>
      <c r="AD13" s="48">
        <f>'Kiosk P&amp;L'!AD9</f>
        <v>0</v>
      </c>
      <c r="AE13" s="48">
        <f>'Kiosk P&amp;L'!AE9</f>
        <v>0</v>
      </c>
      <c r="AF13" s="48">
        <f>'Kiosk P&amp;L'!AF9</f>
        <v>0</v>
      </c>
      <c r="AG13" s="48">
        <f>'Kiosk P&amp;L'!AG9</f>
        <v>0</v>
      </c>
      <c r="AH13" s="48">
        <f>'Kiosk P&amp;L'!AH9</f>
        <v>0</v>
      </c>
      <c r="AI13" s="48">
        <f>'Kiosk P&amp;L'!AI9</f>
        <v>0</v>
      </c>
      <c r="AJ13" s="48">
        <f>'Kiosk P&amp;L'!AJ9</f>
        <v>0</v>
      </c>
      <c r="AK13" s="48">
        <f>'Kiosk P&amp;L'!AK9</f>
        <v>0</v>
      </c>
      <c r="AL13" s="48">
        <f>'Kiosk P&amp;L'!AL9</f>
        <v>0</v>
      </c>
      <c r="AM13" s="66">
        <f>'Kiosk P&amp;L'!AM9</f>
        <v>0</v>
      </c>
      <c r="AN13" s="48">
        <f>'Kiosk P&amp;L'!AN9</f>
        <v>0</v>
      </c>
      <c r="AO13" s="48">
        <f>'Kiosk P&amp;L'!AO9</f>
        <v>0</v>
      </c>
      <c r="AP13" s="48">
        <f>'Kiosk P&amp;L'!AP9</f>
        <v>0</v>
      </c>
      <c r="AQ13" s="48">
        <f>'Kiosk P&amp;L'!AQ9</f>
        <v>0</v>
      </c>
      <c r="AR13" s="48">
        <f>'Kiosk P&amp;L'!AR9</f>
        <v>0</v>
      </c>
      <c r="AS13" s="48">
        <f>'Kiosk P&amp;L'!AS9</f>
        <v>0</v>
      </c>
      <c r="AT13" s="48">
        <f>'Kiosk P&amp;L'!AT9</f>
        <v>0</v>
      </c>
      <c r="AU13" s="48">
        <f>'Kiosk P&amp;L'!AU9</f>
        <v>0</v>
      </c>
      <c r="AV13" s="48">
        <f>'Kiosk P&amp;L'!AV9</f>
        <v>0</v>
      </c>
      <c r="AW13" s="48">
        <f>'Kiosk P&amp;L'!AW9</f>
        <v>0</v>
      </c>
      <c r="AX13" s="48">
        <f>'Kiosk P&amp;L'!AX9</f>
        <v>0</v>
      </c>
      <c r="AY13" s="48">
        <f>'Kiosk P&amp;L'!AY9</f>
        <v>0</v>
      </c>
      <c r="AZ13" s="79">
        <f>'Kiosk P&amp;L'!AZ9</f>
        <v>0</v>
      </c>
      <c r="BA13" s="48">
        <f>'Kiosk P&amp;L'!BA9</f>
        <v>0</v>
      </c>
      <c r="BB13" s="48">
        <f>'Kiosk P&amp;L'!BB9</f>
        <v>0</v>
      </c>
      <c r="BC13" s="48">
        <f>'Kiosk P&amp;L'!BC9</f>
        <v>0</v>
      </c>
      <c r="BD13" s="48">
        <f>'Kiosk P&amp;L'!BD9</f>
        <v>0</v>
      </c>
      <c r="BE13" s="48">
        <f>'Kiosk P&amp;L'!BE9</f>
        <v>0</v>
      </c>
      <c r="BF13" s="48">
        <f>'Kiosk P&amp;L'!BF9</f>
        <v>0</v>
      </c>
      <c r="BG13" s="48">
        <f>'Kiosk P&amp;L'!BG9</f>
        <v>0</v>
      </c>
      <c r="BH13" s="48">
        <f>'Kiosk P&amp;L'!BH9</f>
        <v>0</v>
      </c>
      <c r="BI13" s="48">
        <f>'Kiosk P&amp;L'!BI9</f>
        <v>0</v>
      </c>
      <c r="BJ13" s="48">
        <f>'Kiosk P&amp;L'!BJ9</f>
        <v>0</v>
      </c>
      <c r="BK13" s="66">
        <f>'Kiosk P&amp;L'!BK9</f>
        <v>0</v>
      </c>
    </row>
    <row r="14" spans="2:63" x14ac:dyDescent="0.2">
      <c r="B14" s="2"/>
      <c r="C14" s="3" t="s">
        <v>45</v>
      </c>
      <c r="D14" s="268">
        <f>'E-Commerce P&amp;L'!E12</f>
        <v>0</v>
      </c>
      <c r="E14" s="269">
        <f>'E-Commerce P&amp;L'!F12</f>
        <v>0</v>
      </c>
      <c r="F14" s="269">
        <f>'E-Commerce P&amp;L'!G12</f>
        <v>0</v>
      </c>
      <c r="G14" s="269">
        <f>'E-Commerce P&amp;L'!H12</f>
        <v>2079</v>
      </c>
      <c r="H14" s="48">
        <f>'E-Commerce P&amp;L'!I12</f>
        <v>3748.5</v>
      </c>
      <c r="I14" s="48">
        <f>'E-Commerce P&amp;L'!J12</f>
        <v>6048</v>
      </c>
      <c r="J14" s="48">
        <f>'E-Commerce P&amp;L'!K12</f>
        <v>8305.5</v>
      </c>
      <c r="K14" s="48">
        <f>'E-Commerce P&amp;L'!L12</f>
        <v>10500</v>
      </c>
      <c r="L14" s="48">
        <f>'E-Commerce P&amp;L'!M12</f>
        <v>12642</v>
      </c>
      <c r="M14" s="48">
        <f>'E-Commerce P&amp;L'!N12</f>
        <v>14731.5</v>
      </c>
      <c r="N14" s="48">
        <f>'E-Commerce P&amp;L'!O12</f>
        <v>16768.5</v>
      </c>
      <c r="O14" s="66">
        <f>'E-Commerce P&amp;L'!P12</f>
        <v>18753</v>
      </c>
      <c r="P14" s="48">
        <f>'E-Commerce P&amp;L'!Q12</f>
        <v>20685</v>
      </c>
      <c r="Q14" s="48">
        <f>'E-Commerce P&amp;L'!R12</f>
        <v>22585.5</v>
      </c>
      <c r="R14" s="48">
        <f>'E-Commerce P&amp;L'!S12</f>
        <v>24433.5</v>
      </c>
      <c r="S14" s="48">
        <f>'E-Commerce P&amp;L'!T12</f>
        <v>26239.5</v>
      </c>
      <c r="T14" s="48">
        <f>'E-Commerce P&amp;L'!U12</f>
        <v>28003.5</v>
      </c>
      <c r="U14" s="48">
        <f>'E-Commerce P&amp;L'!V12</f>
        <v>29725.5</v>
      </c>
      <c r="V14" s="48">
        <f>'E-Commerce P&amp;L'!W12</f>
        <v>31405.5</v>
      </c>
      <c r="W14" s="48">
        <f>'E-Commerce P&amp;L'!X12</f>
        <v>33043.5</v>
      </c>
      <c r="X14" s="48">
        <f>'E-Commerce P&amp;L'!Y12</f>
        <v>34650</v>
      </c>
      <c r="Y14" s="48">
        <f>'E-Commerce P&amp;L'!Z12</f>
        <v>36214.5</v>
      </c>
      <c r="Z14" s="48">
        <f>'E-Commerce P&amp;L'!AA12</f>
        <v>37747.5</v>
      </c>
      <c r="AA14" s="48">
        <f>'E-Commerce P&amp;L'!AB12</f>
        <v>39249</v>
      </c>
      <c r="AB14" s="79">
        <f>'E-Commerce P&amp;L'!AC12</f>
        <v>40719</v>
      </c>
      <c r="AC14" s="48">
        <f>'E-Commerce P&amp;L'!AD12</f>
        <v>42157.5</v>
      </c>
      <c r="AD14" s="48">
        <f>'E-Commerce P&amp;L'!AE12</f>
        <v>43564.5</v>
      </c>
      <c r="AE14" s="48">
        <f>'E-Commerce P&amp;L'!AF12</f>
        <v>44940</v>
      </c>
      <c r="AF14" s="48">
        <f>'E-Commerce P&amp;L'!AG12</f>
        <v>46284</v>
      </c>
      <c r="AG14" s="48">
        <f>'E-Commerce P&amp;L'!AH12</f>
        <v>47607</v>
      </c>
      <c r="AH14" s="48">
        <f>'E-Commerce P&amp;L'!AI12</f>
        <v>48909</v>
      </c>
      <c r="AI14" s="48">
        <f>'E-Commerce P&amp;L'!AJ12</f>
        <v>50190</v>
      </c>
      <c r="AJ14" s="48">
        <f>'E-Commerce P&amp;L'!AK12</f>
        <v>51429</v>
      </c>
      <c r="AK14" s="48">
        <f>'E-Commerce P&amp;L'!AL12</f>
        <v>52657.5</v>
      </c>
      <c r="AL14" s="48">
        <f>'E-Commerce P&amp;L'!AM12</f>
        <v>53865</v>
      </c>
      <c r="AM14" s="66">
        <f>'E-Commerce P&amp;L'!AN12</f>
        <v>55051.5</v>
      </c>
      <c r="AN14" s="48">
        <f>'E-Commerce P&amp;L'!AO12</f>
        <v>56227.5</v>
      </c>
      <c r="AO14" s="48">
        <f>'E-Commerce P&amp;L'!AP12</f>
        <v>57382.5</v>
      </c>
      <c r="AP14" s="48">
        <f>'E-Commerce P&amp;L'!AQ12</f>
        <v>58516.5</v>
      </c>
      <c r="AQ14" s="48">
        <f>'E-Commerce P&amp;L'!AR12</f>
        <v>59650.5</v>
      </c>
      <c r="AR14" s="48">
        <f>'E-Commerce P&amp;L'!AS12</f>
        <v>60763.5</v>
      </c>
      <c r="AS14" s="48">
        <f>'E-Commerce P&amp;L'!AT12</f>
        <v>61866</v>
      </c>
      <c r="AT14" s="48">
        <f>'E-Commerce P&amp;L'!AU12</f>
        <v>62968.5</v>
      </c>
      <c r="AU14" s="48">
        <f>'E-Commerce P&amp;L'!AV12</f>
        <v>64060.5</v>
      </c>
      <c r="AV14" s="48">
        <f>'E-Commerce P&amp;L'!AW12</f>
        <v>65142</v>
      </c>
      <c r="AW14" s="48">
        <f>'E-Commerce P&amp;L'!AX12</f>
        <v>66223.5</v>
      </c>
      <c r="AX14" s="48">
        <f>'E-Commerce P&amp;L'!AY12</f>
        <v>67305</v>
      </c>
      <c r="AY14" s="48">
        <f>'E-Commerce P&amp;L'!AZ12</f>
        <v>68386.5</v>
      </c>
      <c r="AZ14" s="79">
        <f>'E-Commerce P&amp;L'!BA12</f>
        <v>69468</v>
      </c>
      <c r="BA14" s="48">
        <f>'E-Commerce P&amp;L'!BB12</f>
        <v>70570.5</v>
      </c>
      <c r="BB14" s="48">
        <f>'E-Commerce P&amp;L'!BC12</f>
        <v>71673</v>
      </c>
      <c r="BC14" s="48">
        <f>'E-Commerce P&amp;L'!BD12</f>
        <v>72786</v>
      </c>
      <c r="BD14" s="48">
        <f>'E-Commerce P&amp;L'!BE12</f>
        <v>73920</v>
      </c>
      <c r="BE14" s="48">
        <f>'E-Commerce P&amp;L'!BF12</f>
        <v>75064.5</v>
      </c>
      <c r="BF14" s="48">
        <f>'E-Commerce P&amp;L'!BG12</f>
        <v>76219.5</v>
      </c>
      <c r="BG14" s="48">
        <f>'E-Commerce P&amp;L'!BH12</f>
        <v>77406</v>
      </c>
      <c r="BH14" s="48">
        <f>'E-Commerce P&amp;L'!BI12</f>
        <v>78624</v>
      </c>
      <c r="BI14" s="48">
        <f>'E-Commerce P&amp;L'!BJ12</f>
        <v>79873.5</v>
      </c>
      <c r="BJ14" s="48">
        <f>'E-Commerce P&amp;L'!BK12</f>
        <v>81154.5</v>
      </c>
      <c r="BK14" s="66">
        <f>'E-Commerce P&amp;L'!BL12</f>
        <v>82477.5</v>
      </c>
    </row>
    <row r="15" spans="2:63" x14ac:dyDescent="0.2">
      <c r="B15" s="68"/>
      <c r="C15" s="143" t="s">
        <v>46</v>
      </c>
      <c r="D15" s="268">
        <f t="shared" ref="D15:AI15" si="1">D8*COGSOneTimePurchases</f>
        <v>0</v>
      </c>
      <c r="E15" s="269">
        <f t="shared" si="1"/>
        <v>0</v>
      </c>
      <c r="F15" s="269">
        <f t="shared" si="1"/>
        <v>0</v>
      </c>
      <c r="G15" s="269">
        <f t="shared" si="1"/>
        <v>1490.6779999999999</v>
      </c>
      <c r="H15" s="48">
        <f t="shared" si="1"/>
        <v>2600.8617249999998</v>
      </c>
      <c r="I15" s="48">
        <f t="shared" si="1"/>
        <v>2602.570663</v>
      </c>
      <c r="J15" s="48">
        <f t="shared" si="1"/>
        <v>2604.4163160399999</v>
      </c>
      <c r="K15" s="48">
        <f t="shared" si="1"/>
        <v>2606.4096213232001</v>
      </c>
      <c r="L15" s="48">
        <f t="shared" si="1"/>
        <v>2608.5623910290556</v>
      </c>
      <c r="M15" s="48">
        <f t="shared" si="1"/>
        <v>2610.8873823113804</v>
      </c>
      <c r="N15" s="48">
        <f t="shared" si="1"/>
        <v>2613.3983728962908</v>
      </c>
      <c r="O15" s="66">
        <f t="shared" si="1"/>
        <v>2616.1102427279943</v>
      </c>
      <c r="P15" s="48">
        <f t="shared" si="1"/>
        <v>2619.0390621462338</v>
      </c>
      <c r="Q15" s="48">
        <f t="shared" si="1"/>
        <v>2622.2021871179322</v>
      </c>
      <c r="R15" s="48">
        <f t="shared" si="1"/>
        <v>2625.6183620873671</v>
      </c>
      <c r="S15" s="48">
        <f t="shared" si="1"/>
        <v>2629.307831054356</v>
      </c>
      <c r="T15" s="48">
        <f t="shared" si="1"/>
        <v>2633.2924575387046</v>
      </c>
      <c r="U15" s="48">
        <f t="shared" si="1"/>
        <v>2637.5958541418013</v>
      </c>
      <c r="V15" s="48">
        <f t="shared" si="1"/>
        <v>2642.2435224731453</v>
      </c>
      <c r="W15" s="48">
        <f t="shared" si="1"/>
        <v>2647.263004270997</v>
      </c>
      <c r="X15" s="48">
        <f t="shared" si="1"/>
        <v>2652.6840446126766</v>
      </c>
      <c r="Y15" s="48">
        <f t="shared" si="1"/>
        <v>2658.538768181691</v>
      </c>
      <c r="Z15" s="48">
        <f t="shared" si="1"/>
        <v>2664.8618696362259</v>
      </c>
      <c r="AA15" s="48">
        <f t="shared" si="1"/>
        <v>2671.6908192071242</v>
      </c>
      <c r="AB15" s="79">
        <f t="shared" si="1"/>
        <v>2679.0660847436943</v>
      </c>
      <c r="AC15" s="48">
        <f t="shared" si="1"/>
        <v>2687.0313715231896</v>
      </c>
      <c r="AD15" s="48">
        <f t="shared" si="1"/>
        <v>2695.6338812450449</v>
      </c>
      <c r="AE15" s="48">
        <f t="shared" si="1"/>
        <v>2704.9245917446488</v>
      </c>
      <c r="AF15" s="48">
        <f t="shared" si="1"/>
        <v>2714.9585590842207</v>
      </c>
      <c r="AG15" s="48">
        <f t="shared" si="1"/>
        <v>2725.7952438109583</v>
      </c>
      <c r="AH15" s="48">
        <f t="shared" si="1"/>
        <v>2737.498863315835</v>
      </c>
      <c r="AI15" s="48">
        <f t="shared" si="1"/>
        <v>2750.1387723811017</v>
      </c>
      <c r="AJ15" s="48">
        <f t="shared" ref="AJ15:BK15" si="2">AJ8*COGSOneTimePurchases</f>
        <v>2763.7898741715899</v>
      </c>
      <c r="AK15" s="48">
        <f t="shared" si="2"/>
        <v>2778.533064105317</v>
      </c>
      <c r="AL15" s="48">
        <f t="shared" si="2"/>
        <v>2794.4557092337427</v>
      </c>
      <c r="AM15" s="66">
        <f t="shared" si="2"/>
        <v>2811.6521659724417</v>
      </c>
      <c r="AN15" s="48">
        <f t="shared" si="2"/>
        <v>2830.2243392502373</v>
      </c>
      <c r="AO15" s="48">
        <f t="shared" si="2"/>
        <v>2850.2822863902561</v>
      </c>
      <c r="AP15" s="48">
        <f t="shared" si="2"/>
        <v>2871.9448693014765</v>
      </c>
      <c r="AQ15" s="48">
        <f t="shared" si="2"/>
        <v>2895.3404588455946</v>
      </c>
      <c r="AR15" s="48">
        <f t="shared" si="2"/>
        <v>2920.6076955532426</v>
      </c>
      <c r="AS15" s="48">
        <f t="shared" si="2"/>
        <v>2947.8963111975022</v>
      </c>
      <c r="AT15" s="48">
        <f t="shared" si="2"/>
        <v>2977.3680160933022</v>
      </c>
      <c r="AU15" s="48">
        <f t="shared" si="2"/>
        <v>3009.1974573807665</v>
      </c>
      <c r="AV15" s="48">
        <f t="shared" si="2"/>
        <v>3043.5732539712276</v>
      </c>
      <c r="AW15" s="48">
        <f t="shared" si="2"/>
        <v>3080.699114288926</v>
      </c>
      <c r="AX15" s="48">
        <f t="shared" si="2"/>
        <v>3120.7950434320401</v>
      </c>
      <c r="AY15" s="48">
        <f t="shared" si="2"/>
        <v>3164.0986469066033</v>
      </c>
      <c r="AZ15" s="79">
        <f t="shared" si="2"/>
        <v>3210.8665386591315</v>
      </c>
      <c r="BA15" s="48">
        <f t="shared" si="2"/>
        <v>3261.375861751862</v>
      </c>
      <c r="BB15" s="48">
        <f t="shared" si="2"/>
        <v>3315.9259306920112</v>
      </c>
      <c r="BC15" s="48">
        <f t="shared" si="2"/>
        <v>3374.8400051473723</v>
      </c>
      <c r="BD15" s="48">
        <f t="shared" si="2"/>
        <v>3438.4672055591618</v>
      </c>
      <c r="BE15" s="48">
        <f t="shared" si="2"/>
        <v>3507.1845820038952</v>
      </c>
      <c r="BF15" s="48">
        <f t="shared" si="2"/>
        <v>3581.3993485642068</v>
      </c>
      <c r="BG15" s="48">
        <f t="shared" si="2"/>
        <v>3661.5512964493428</v>
      </c>
      <c r="BH15" s="48">
        <f t="shared" si="2"/>
        <v>3748.1154001652908</v>
      </c>
      <c r="BI15" s="48">
        <f t="shared" si="2"/>
        <v>3841.6046321785138</v>
      </c>
      <c r="BJ15" s="48">
        <f t="shared" si="2"/>
        <v>3942.5730027527957</v>
      </c>
      <c r="BK15" s="66">
        <f t="shared" si="2"/>
        <v>4051.6188429730196</v>
      </c>
    </row>
    <row r="16" spans="2:63" x14ac:dyDescent="0.2">
      <c r="B16" s="68"/>
      <c r="C16" s="143" t="s">
        <v>50</v>
      </c>
      <c r="D16" s="268">
        <f>'E-Commerce P&amp;L'!E14</f>
        <v>0</v>
      </c>
      <c r="E16" s="269">
        <f>'E-Commerce P&amp;L'!F14</f>
        <v>0</v>
      </c>
      <c r="F16" s="269">
        <f>'E-Commerce P&amp;L'!G14</f>
        <v>0</v>
      </c>
      <c r="G16" s="269">
        <f>'E-Commerce P&amp;L'!H14</f>
        <v>462</v>
      </c>
      <c r="H16" s="48">
        <f>'E-Commerce P&amp;L'!I14</f>
        <v>1249.5</v>
      </c>
      <c r="I16" s="48">
        <f>'E-Commerce P&amp;L'!J14</f>
        <v>2016</v>
      </c>
      <c r="J16" s="48">
        <f>'E-Commerce P&amp;L'!K14</f>
        <v>2768.5</v>
      </c>
      <c r="K16" s="48">
        <f>'E-Commerce P&amp;L'!L14</f>
        <v>3500</v>
      </c>
      <c r="L16" s="48">
        <f>'E-Commerce P&amp;L'!M14</f>
        <v>4214</v>
      </c>
      <c r="M16" s="48">
        <f>'E-Commerce P&amp;L'!N14</f>
        <v>4910.5</v>
      </c>
      <c r="N16" s="48">
        <f>'E-Commerce P&amp;L'!O14</f>
        <v>5589.5</v>
      </c>
      <c r="O16" s="66">
        <f>'E-Commerce P&amp;L'!P14</f>
        <v>6251</v>
      </c>
      <c r="P16" s="48">
        <f>'E-Commerce P&amp;L'!Q14</f>
        <v>6895</v>
      </c>
      <c r="Q16" s="48">
        <f>'E-Commerce P&amp;L'!R14</f>
        <v>7528.5</v>
      </c>
      <c r="R16" s="48">
        <f>'E-Commerce P&amp;L'!S14</f>
        <v>8144.5</v>
      </c>
      <c r="S16" s="48">
        <f>'E-Commerce P&amp;L'!T14</f>
        <v>8746.5</v>
      </c>
      <c r="T16" s="48">
        <f>'E-Commerce P&amp;L'!U14</f>
        <v>9334.5</v>
      </c>
      <c r="U16" s="48">
        <f>'E-Commerce P&amp;L'!V14</f>
        <v>9908.5</v>
      </c>
      <c r="V16" s="48">
        <f>'E-Commerce P&amp;L'!W14</f>
        <v>10468.5</v>
      </c>
      <c r="W16" s="48">
        <f>'E-Commerce P&amp;L'!X14</f>
        <v>11014.5</v>
      </c>
      <c r="X16" s="48">
        <f>'E-Commerce P&amp;L'!Y14</f>
        <v>11550</v>
      </c>
      <c r="Y16" s="48">
        <f>'E-Commerce P&amp;L'!Z14</f>
        <v>12071.5</v>
      </c>
      <c r="Z16" s="48">
        <f>'E-Commerce P&amp;L'!AA14</f>
        <v>12582.5</v>
      </c>
      <c r="AA16" s="48">
        <f>'E-Commerce P&amp;L'!AB14</f>
        <v>13083</v>
      </c>
      <c r="AB16" s="79">
        <f>'E-Commerce P&amp;L'!AC14</f>
        <v>13573</v>
      </c>
      <c r="AC16" s="48">
        <f>'E-Commerce P&amp;L'!AD14</f>
        <v>14052.5</v>
      </c>
      <c r="AD16" s="48">
        <f>'E-Commerce P&amp;L'!AE14</f>
        <v>14521.5</v>
      </c>
      <c r="AE16" s="48">
        <f>'E-Commerce P&amp;L'!AF14</f>
        <v>14980</v>
      </c>
      <c r="AF16" s="48">
        <f>'E-Commerce P&amp;L'!AG14</f>
        <v>15428</v>
      </c>
      <c r="AG16" s="48">
        <f>'E-Commerce P&amp;L'!AH14</f>
        <v>15869</v>
      </c>
      <c r="AH16" s="48">
        <f>'E-Commerce P&amp;L'!AI14</f>
        <v>16303</v>
      </c>
      <c r="AI16" s="48">
        <f>'E-Commerce P&amp;L'!AJ14</f>
        <v>16730</v>
      </c>
      <c r="AJ16" s="48">
        <f>'E-Commerce P&amp;L'!AK14</f>
        <v>17143</v>
      </c>
      <c r="AK16" s="48">
        <f>'E-Commerce P&amp;L'!AL14</f>
        <v>17552.5</v>
      </c>
      <c r="AL16" s="48">
        <f>'E-Commerce P&amp;L'!AM14</f>
        <v>17955</v>
      </c>
      <c r="AM16" s="66">
        <f>'E-Commerce P&amp;L'!AN14</f>
        <v>18350.5</v>
      </c>
      <c r="AN16" s="48">
        <f>'E-Commerce P&amp;L'!AO14</f>
        <v>18742.5</v>
      </c>
      <c r="AO16" s="48">
        <f>'E-Commerce P&amp;L'!AP14</f>
        <v>19127.5</v>
      </c>
      <c r="AP16" s="48">
        <f>'E-Commerce P&amp;L'!AQ14</f>
        <v>19505.5</v>
      </c>
      <c r="AQ16" s="48">
        <f>'E-Commerce P&amp;L'!AR14</f>
        <v>19883.5</v>
      </c>
      <c r="AR16" s="48">
        <f>'E-Commerce P&amp;L'!AS14</f>
        <v>20254.5</v>
      </c>
      <c r="AS16" s="48">
        <f>'E-Commerce P&amp;L'!AT14</f>
        <v>20622</v>
      </c>
      <c r="AT16" s="48">
        <f>'E-Commerce P&amp;L'!AU14</f>
        <v>20989.5</v>
      </c>
      <c r="AU16" s="48">
        <f>'E-Commerce P&amp;L'!AV14</f>
        <v>21353.5</v>
      </c>
      <c r="AV16" s="48">
        <f>'E-Commerce P&amp;L'!AW14</f>
        <v>21714</v>
      </c>
      <c r="AW16" s="48">
        <f>'E-Commerce P&amp;L'!AX14</f>
        <v>22074.5</v>
      </c>
      <c r="AX16" s="48">
        <f>'E-Commerce P&amp;L'!AY14</f>
        <v>22435</v>
      </c>
      <c r="AY16" s="48">
        <f>'E-Commerce P&amp;L'!AZ14</f>
        <v>22795.5</v>
      </c>
      <c r="AZ16" s="79">
        <f>'E-Commerce P&amp;L'!BA14</f>
        <v>23156</v>
      </c>
      <c r="BA16" s="48">
        <f>'E-Commerce P&amp;L'!BB14</f>
        <v>23523.5</v>
      </c>
      <c r="BB16" s="48">
        <f>'E-Commerce P&amp;L'!BC14</f>
        <v>23891</v>
      </c>
      <c r="BC16" s="48">
        <f>'E-Commerce P&amp;L'!BD14</f>
        <v>24262</v>
      </c>
      <c r="BD16" s="48">
        <f>'E-Commerce P&amp;L'!BE14</f>
        <v>24640</v>
      </c>
      <c r="BE16" s="48">
        <f>'E-Commerce P&amp;L'!BF14</f>
        <v>25021.5</v>
      </c>
      <c r="BF16" s="48">
        <f>'E-Commerce P&amp;L'!BG14</f>
        <v>25406.5</v>
      </c>
      <c r="BG16" s="48">
        <f>'E-Commerce P&amp;L'!BH14</f>
        <v>25802</v>
      </c>
      <c r="BH16" s="48">
        <f>'E-Commerce P&amp;L'!BI14</f>
        <v>26208</v>
      </c>
      <c r="BI16" s="48">
        <f>'E-Commerce P&amp;L'!BJ14</f>
        <v>26624.5</v>
      </c>
      <c r="BJ16" s="48">
        <f>'E-Commerce P&amp;L'!BK14</f>
        <v>27051.5</v>
      </c>
      <c r="BK16" s="66">
        <f>'E-Commerce P&amp;L'!BL14</f>
        <v>27492.5</v>
      </c>
    </row>
    <row r="17" spans="2:63" x14ac:dyDescent="0.2">
      <c r="B17" s="68"/>
      <c r="C17" s="3" t="s">
        <v>51</v>
      </c>
      <c r="D17" s="270">
        <f>'E-Commerce P&amp;L'!E15</f>
        <v>0</v>
      </c>
      <c r="E17" s="271">
        <f>'E-Commerce P&amp;L'!F15</f>
        <v>0</v>
      </c>
      <c r="F17" s="271">
        <f>'E-Commerce P&amp;L'!G15</f>
        <v>0</v>
      </c>
      <c r="G17" s="271">
        <f>'E-Commerce P&amp;L'!H15</f>
        <v>576</v>
      </c>
      <c r="H17" s="38">
        <f>'E-Commerce P&amp;L'!I15</f>
        <v>649.99999999999989</v>
      </c>
      <c r="I17" s="38">
        <f>'E-Commerce P&amp;L'!J15</f>
        <v>649.99999999999989</v>
      </c>
      <c r="J17" s="38">
        <f>'E-Commerce P&amp;L'!K15</f>
        <v>1299.9999999999998</v>
      </c>
      <c r="K17" s="38">
        <f>'E-Commerce P&amp;L'!L15</f>
        <v>1299.9999999999998</v>
      </c>
      <c r="L17" s="38">
        <f>'E-Commerce P&amp;L'!M15</f>
        <v>1299.9999999999998</v>
      </c>
      <c r="M17" s="38">
        <f>'E-Commerce P&amp;L'!N15</f>
        <v>1299.9999999999998</v>
      </c>
      <c r="N17" s="38">
        <f>'E-Commerce P&amp;L'!O15</f>
        <v>1950</v>
      </c>
      <c r="O17" s="84">
        <f>'E-Commerce P&amp;L'!P15</f>
        <v>1950</v>
      </c>
      <c r="P17" s="38">
        <f>'E-Commerce P&amp;L'!Q15</f>
        <v>1950</v>
      </c>
      <c r="Q17" s="38">
        <f>'E-Commerce P&amp;L'!R15</f>
        <v>1950</v>
      </c>
      <c r="R17" s="38">
        <f>'E-Commerce P&amp;L'!S15</f>
        <v>2599.9999999999995</v>
      </c>
      <c r="S17" s="38">
        <f>'E-Commerce P&amp;L'!T15</f>
        <v>2599.9999999999995</v>
      </c>
      <c r="T17" s="38">
        <f>'E-Commerce P&amp;L'!U15</f>
        <v>2599.9999999999995</v>
      </c>
      <c r="U17" s="38">
        <f>'E-Commerce P&amp;L'!V15</f>
        <v>2599.9999999999995</v>
      </c>
      <c r="V17" s="38">
        <f>'E-Commerce P&amp;L'!W15</f>
        <v>3250</v>
      </c>
      <c r="W17" s="38">
        <f>'E-Commerce P&amp;L'!X15</f>
        <v>3250</v>
      </c>
      <c r="X17" s="38">
        <f>'E-Commerce P&amp;L'!Y15</f>
        <v>3250</v>
      </c>
      <c r="Y17" s="38">
        <f>'E-Commerce P&amp;L'!Z15</f>
        <v>3250</v>
      </c>
      <c r="Z17" s="38">
        <f>'E-Commerce P&amp;L'!AA15</f>
        <v>3900</v>
      </c>
      <c r="AA17" s="38">
        <f>'E-Commerce P&amp;L'!AB15</f>
        <v>3900</v>
      </c>
      <c r="AB17" s="83">
        <f>'E-Commerce P&amp;L'!AC15</f>
        <v>3900</v>
      </c>
      <c r="AC17" s="38">
        <f>'E-Commerce P&amp;L'!AD15</f>
        <v>3900</v>
      </c>
      <c r="AD17" s="38">
        <f>'E-Commerce P&amp;L'!AE15</f>
        <v>3900</v>
      </c>
      <c r="AE17" s="38">
        <f>'E-Commerce P&amp;L'!AF15</f>
        <v>4550</v>
      </c>
      <c r="AF17" s="38">
        <f>'E-Commerce P&amp;L'!AG15</f>
        <v>4550</v>
      </c>
      <c r="AG17" s="38">
        <f>'E-Commerce P&amp;L'!AH15</f>
        <v>4550</v>
      </c>
      <c r="AH17" s="38">
        <f>'E-Commerce P&amp;L'!AI15</f>
        <v>4550</v>
      </c>
      <c r="AI17" s="38">
        <f>'E-Commerce P&amp;L'!AJ15</f>
        <v>4550</v>
      </c>
      <c r="AJ17" s="38">
        <f>'E-Commerce P&amp;L'!AK15</f>
        <v>4550</v>
      </c>
      <c r="AK17" s="38">
        <f>'E-Commerce P&amp;L'!AL15</f>
        <v>5199.9999999999991</v>
      </c>
      <c r="AL17" s="38">
        <f>'E-Commerce P&amp;L'!AM15</f>
        <v>5199.9999999999991</v>
      </c>
      <c r="AM17" s="84">
        <f>'E-Commerce P&amp;L'!AN15</f>
        <v>5199.9999999999991</v>
      </c>
      <c r="AN17" s="38">
        <f>'E-Commerce P&amp;L'!AO15</f>
        <v>5199.9999999999991</v>
      </c>
      <c r="AO17" s="38">
        <f>'E-Commerce P&amp;L'!AP15</f>
        <v>5199.9999999999991</v>
      </c>
      <c r="AP17" s="38">
        <f>'E-Commerce P&amp;L'!AQ15</f>
        <v>5199.9999999999991</v>
      </c>
      <c r="AQ17" s="38">
        <f>'E-Commerce P&amp;L'!AR15</f>
        <v>5850</v>
      </c>
      <c r="AR17" s="38">
        <f>'E-Commerce P&amp;L'!AS15</f>
        <v>5850</v>
      </c>
      <c r="AS17" s="38">
        <f>'E-Commerce P&amp;L'!AT15</f>
        <v>5850</v>
      </c>
      <c r="AT17" s="38">
        <f>'E-Commerce P&amp;L'!AU15</f>
        <v>5850</v>
      </c>
      <c r="AU17" s="38">
        <f>'E-Commerce P&amp;L'!AV15</f>
        <v>5850</v>
      </c>
      <c r="AV17" s="38">
        <f>'E-Commerce P&amp;L'!AW15</f>
        <v>5850</v>
      </c>
      <c r="AW17" s="38">
        <f>'E-Commerce P&amp;L'!AX15</f>
        <v>5850</v>
      </c>
      <c r="AX17" s="38">
        <f>'E-Commerce P&amp;L'!AY15</f>
        <v>6500</v>
      </c>
      <c r="AY17" s="38">
        <f>'E-Commerce P&amp;L'!AZ15</f>
        <v>6500</v>
      </c>
      <c r="AZ17" s="83">
        <f>'E-Commerce P&amp;L'!BA15</f>
        <v>6500</v>
      </c>
      <c r="BA17" s="38">
        <f>'E-Commerce P&amp;L'!BB15</f>
        <v>6500</v>
      </c>
      <c r="BB17" s="38">
        <f>'E-Commerce P&amp;L'!BC15</f>
        <v>6500</v>
      </c>
      <c r="BC17" s="38">
        <f>'E-Commerce P&amp;L'!BD15</f>
        <v>6500</v>
      </c>
      <c r="BD17" s="38">
        <f>'E-Commerce P&amp;L'!BE15</f>
        <v>7149.9999999999991</v>
      </c>
      <c r="BE17" s="38">
        <f>'E-Commerce P&amp;L'!BF15</f>
        <v>7149.9999999999991</v>
      </c>
      <c r="BF17" s="38">
        <f>'E-Commerce P&amp;L'!BG15</f>
        <v>7149.9999999999991</v>
      </c>
      <c r="BG17" s="38">
        <f>'E-Commerce P&amp;L'!BH15</f>
        <v>7149.9999999999991</v>
      </c>
      <c r="BH17" s="38">
        <f>'E-Commerce P&amp;L'!BI15</f>
        <v>7149.9999999999991</v>
      </c>
      <c r="BI17" s="38">
        <f>'E-Commerce P&amp;L'!BJ15</f>
        <v>7149.9999999999991</v>
      </c>
      <c r="BJ17" s="38">
        <f>'E-Commerce P&amp;L'!BK15</f>
        <v>7800</v>
      </c>
      <c r="BK17" s="84">
        <f>'E-Commerce P&amp;L'!BL15</f>
        <v>7800</v>
      </c>
    </row>
    <row r="18" spans="2:63" s="1" customFormat="1" x14ac:dyDescent="0.2">
      <c r="B18" s="45"/>
      <c r="C18" s="142" t="s">
        <v>117</v>
      </c>
      <c r="D18" s="279">
        <f>SUM(D13:D17)</f>
        <v>7234</v>
      </c>
      <c r="E18" s="280">
        <f t="shared" ref="E18:BK18" si="3">SUM(E13:E17)</f>
        <v>7563</v>
      </c>
      <c r="F18" s="280">
        <f t="shared" si="3"/>
        <v>8231</v>
      </c>
      <c r="G18" s="280">
        <f t="shared" si="3"/>
        <v>13170.678</v>
      </c>
      <c r="H18" s="20">
        <f t="shared" si="3"/>
        <v>17124.942416642651</v>
      </c>
      <c r="I18" s="20">
        <f t="shared" si="3"/>
        <v>20192.65135464265</v>
      </c>
      <c r="J18" s="20">
        <f t="shared" si="3"/>
        <v>23854.49700768265</v>
      </c>
      <c r="K18" s="20">
        <f t="shared" si="3"/>
        <v>26782.490312965852</v>
      </c>
      <c r="L18" s="20">
        <f t="shared" si="3"/>
        <v>29640.643082671708</v>
      </c>
      <c r="M18" s="20">
        <f t="shared" si="3"/>
        <v>32428.968073954031</v>
      </c>
      <c r="N18" s="20">
        <f t="shared" si="3"/>
        <v>35797.479064538944</v>
      </c>
      <c r="O18" s="67">
        <f t="shared" si="3"/>
        <v>38446.19093437065</v>
      </c>
      <c r="P18" s="20">
        <f t="shared" si="3"/>
        <v>41025.119753788887</v>
      </c>
      <c r="Q18" s="20">
        <f t="shared" si="3"/>
        <v>43562.282878760583</v>
      </c>
      <c r="R18" s="20">
        <f t="shared" si="3"/>
        <v>46679.699053730015</v>
      </c>
      <c r="S18" s="20">
        <f t="shared" si="3"/>
        <v>49091.388522697009</v>
      </c>
      <c r="T18" s="20">
        <f t="shared" si="3"/>
        <v>51447.37314918136</v>
      </c>
      <c r="U18" s="20">
        <f t="shared" si="3"/>
        <v>53747.676545784452</v>
      </c>
      <c r="V18" s="20">
        <f t="shared" si="3"/>
        <v>56642.324214115797</v>
      </c>
      <c r="W18" s="20">
        <f t="shared" si="3"/>
        <v>58831.343695913645</v>
      </c>
      <c r="X18" s="20">
        <f t="shared" si="3"/>
        <v>60978.764736255325</v>
      </c>
      <c r="Y18" s="20">
        <f t="shared" si="3"/>
        <v>63070.619459824346</v>
      </c>
      <c r="Z18" s="20">
        <f t="shared" si="3"/>
        <v>65770.942561278876</v>
      </c>
      <c r="AA18" s="20">
        <f t="shared" si="3"/>
        <v>67779.77151084978</v>
      </c>
      <c r="AB18" s="80">
        <f t="shared" si="3"/>
        <v>60871.066084743696</v>
      </c>
      <c r="AC18" s="20">
        <f t="shared" si="3"/>
        <v>62797.03137152319</v>
      </c>
      <c r="AD18" s="20">
        <f t="shared" si="3"/>
        <v>64681.633881245041</v>
      </c>
      <c r="AE18" s="20">
        <f t="shared" si="3"/>
        <v>67174.924591744639</v>
      </c>
      <c r="AF18" s="20">
        <f t="shared" si="3"/>
        <v>68976.958559084218</v>
      </c>
      <c r="AG18" s="20">
        <f t="shared" si="3"/>
        <v>70751.79524381095</v>
      </c>
      <c r="AH18" s="20">
        <f t="shared" si="3"/>
        <v>72499.498863315835</v>
      </c>
      <c r="AI18" s="20">
        <f t="shared" si="3"/>
        <v>74220.138772381091</v>
      </c>
      <c r="AJ18" s="20">
        <f t="shared" si="3"/>
        <v>75885.789874171591</v>
      </c>
      <c r="AK18" s="20">
        <f t="shared" si="3"/>
        <v>78188.533064105315</v>
      </c>
      <c r="AL18" s="20">
        <f t="shared" si="3"/>
        <v>79814.455709233735</v>
      </c>
      <c r="AM18" s="67">
        <f t="shared" si="3"/>
        <v>81413.652165972439</v>
      </c>
      <c r="AN18" s="20">
        <f t="shared" si="3"/>
        <v>83000.224339250242</v>
      </c>
      <c r="AO18" s="20">
        <f t="shared" si="3"/>
        <v>84560.282286390255</v>
      </c>
      <c r="AP18" s="20">
        <f t="shared" si="3"/>
        <v>86093.944869301486</v>
      </c>
      <c r="AQ18" s="20">
        <f t="shared" si="3"/>
        <v>88279.340458845603</v>
      </c>
      <c r="AR18" s="20">
        <f t="shared" si="3"/>
        <v>89788.607695553248</v>
      </c>
      <c r="AS18" s="20">
        <f t="shared" si="3"/>
        <v>91285.896311197503</v>
      </c>
      <c r="AT18" s="20">
        <f t="shared" si="3"/>
        <v>92785.3680160933</v>
      </c>
      <c r="AU18" s="20">
        <f t="shared" si="3"/>
        <v>94273.197457380767</v>
      </c>
      <c r="AV18" s="20">
        <f t="shared" si="3"/>
        <v>95749.573253971233</v>
      </c>
      <c r="AW18" s="20">
        <f t="shared" si="3"/>
        <v>97228.699114288931</v>
      </c>
      <c r="AX18" s="20">
        <f t="shared" si="3"/>
        <v>99360.795043432037</v>
      </c>
      <c r="AY18" s="20">
        <f t="shared" si="3"/>
        <v>100846.0986469066</v>
      </c>
      <c r="AZ18" s="80">
        <f t="shared" si="3"/>
        <v>102334.86653865913</v>
      </c>
      <c r="BA18" s="20">
        <f t="shared" si="3"/>
        <v>103855.37586175186</v>
      </c>
      <c r="BB18" s="20">
        <f t="shared" si="3"/>
        <v>105379.92593069201</v>
      </c>
      <c r="BC18" s="20">
        <f t="shared" si="3"/>
        <v>106922.84000514737</v>
      </c>
      <c r="BD18" s="20">
        <f t="shared" si="3"/>
        <v>109148.46720555917</v>
      </c>
      <c r="BE18" s="20">
        <f t="shared" si="3"/>
        <v>110743.1845820039</v>
      </c>
      <c r="BF18" s="20">
        <f t="shared" si="3"/>
        <v>112357.39934856421</v>
      </c>
      <c r="BG18" s="20">
        <f t="shared" si="3"/>
        <v>114019.55129644934</v>
      </c>
      <c r="BH18" s="20">
        <f t="shared" si="3"/>
        <v>115730.11540016529</v>
      </c>
      <c r="BI18" s="20">
        <f t="shared" si="3"/>
        <v>117489.60463217851</v>
      </c>
      <c r="BJ18" s="20">
        <f t="shared" si="3"/>
        <v>119948.57300275279</v>
      </c>
      <c r="BK18" s="67">
        <f t="shared" si="3"/>
        <v>121821.61884297302</v>
      </c>
    </row>
    <row r="19" spans="2:63" x14ac:dyDescent="0.2">
      <c r="B19" s="2"/>
      <c r="C19" s="3"/>
      <c r="D19" s="274"/>
      <c r="E19" s="275"/>
      <c r="F19" s="275"/>
      <c r="G19" s="275"/>
      <c r="O19" s="3"/>
      <c r="AB19" s="2"/>
      <c r="AM19" s="3"/>
      <c r="AZ19" s="2"/>
      <c r="BK19" s="3"/>
    </row>
    <row r="20" spans="2:63" s="1" customFormat="1" x14ac:dyDescent="0.2">
      <c r="B20" s="45" t="s">
        <v>32</v>
      </c>
      <c r="C20" s="47"/>
      <c r="D20" s="279">
        <f>D10-D18</f>
        <v>16233.5</v>
      </c>
      <c r="E20" s="280">
        <f t="shared" ref="E20:BK20" si="4">E10-E18</f>
        <v>16894.5</v>
      </c>
      <c r="F20" s="280">
        <f t="shared" si="4"/>
        <v>29891</v>
      </c>
      <c r="G20" s="280">
        <f t="shared" si="4"/>
        <v>39896.587570894335</v>
      </c>
      <c r="H20" s="20">
        <f t="shared" si="4"/>
        <v>49008.620468721769</v>
      </c>
      <c r="I20" s="20">
        <f t="shared" si="4"/>
        <v>53610.851027361765</v>
      </c>
      <c r="J20" s="20">
        <f t="shared" si="4"/>
        <v>57479.340030692962</v>
      </c>
      <c r="K20" s="20">
        <f t="shared" si="4"/>
        <v>61872.108154290661</v>
      </c>
      <c r="L20" s="20">
        <f t="shared" si="4"/>
        <v>66160.177727776172</v>
      </c>
      <c r="M20" s="20">
        <f t="shared" si="4"/>
        <v>70343.572867140523</v>
      </c>
      <c r="N20" s="20">
        <f t="shared" si="4"/>
        <v>73772.319617654022</v>
      </c>
      <c r="O20" s="67">
        <f t="shared" si="4"/>
        <v>77746.446108208605</v>
      </c>
      <c r="P20" s="20">
        <f t="shared" si="4"/>
        <v>81615.982718007552</v>
      </c>
      <c r="Q20" s="20">
        <f t="shared" si="4"/>
        <v>85422.962256590414</v>
      </c>
      <c r="R20" s="20">
        <f t="shared" si="4"/>
        <v>88475.420158259905</v>
      </c>
      <c r="S20" s="20">
        <f t="shared" si="4"/>
        <v>92094.394692062982</v>
      </c>
      <c r="T20" s="20">
        <f t="shared" si="4"/>
        <v>95629.927188570262</v>
      </c>
      <c r="U20" s="20">
        <f t="shared" si="4"/>
        <v>99082.062284798129</v>
      </c>
      <c r="V20" s="20">
        <f t="shared" si="4"/>
        <v>101800.84818872422</v>
      </c>
      <c r="W20" s="20">
        <f t="shared" si="4"/>
        <v>105086.33696496446</v>
      </c>
      <c r="X20" s="20">
        <f t="shared" si="4"/>
        <v>108309.58484330388</v>
      </c>
      <c r="Y20" s="20">
        <f t="shared" si="4"/>
        <v>111449.65255191043</v>
      </c>
      <c r="Z20" s="20">
        <f t="shared" si="4"/>
        <v>113877.60567720555</v>
      </c>
      <c r="AA20" s="20">
        <f t="shared" si="4"/>
        <v>116893.51505252424</v>
      </c>
      <c r="AB20" s="80">
        <f t="shared" si="4"/>
        <v>82614.027783055746</v>
      </c>
      <c r="AC20" s="20">
        <f t="shared" si="4"/>
        <v>85506.08527842749</v>
      </c>
      <c r="AD20" s="20">
        <f t="shared" si="4"/>
        <v>88336.347373428958</v>
      </c>
      <c r="AE20" s="20">
        <f t="shared" si="4"/>
        <v>90454.910436030565</v>
      </c>
      <c r="AF20" s="20">
        <f t="shared" si="4"/>
        <v>93161.878543640254</v>
      </c>
      <c r="AG20" s="20">
        <f t="shared" si="4"/>
        <v>95828.364099858765</v>
      </c>
      <c r="AH20" s="20">
        <f t="shared" si="4"/>
        <v>98454.488500574706</v>
      </c>
      <c r="AI20" s="20">
        <f t="shared" si="4"/>
        <v>101040.38285334795</v>
      </c>
      <c r="AJ20" s="20">
        <f t="shared" si="4"/>
        <v>103544.18875434306</v>
      </c>
      <c r="AK20" s="20">
        <f t="shared" si="4"/>
        <v>105379.0591274178</v>
      </c>
      <c r="AL20" s="20">
        <f t="shared" si="4"/>
        <v>107824.15913033849</v>
      </c>
      <c r="AM20" s="67">
        <f t="shared" si="4"/>
        <v>110229.66713349284</v>
      </c>
      <c r="AN20" s="20">
        <f t="shared" si="4"/>
        <v>112616.77577689954</v>
      </c>
      <c r="AO20" s="20">
        <f t="shared" si="4"/>
        <v>114964.69311177876</v>
      </c>
      <c r="AP20" s="20">
        <f t="shared" si="4"/>
        <v>117273.64383344835</v>
      </c>
      <c r="AQ20" s="20">
        <f t="shared" si="4"/>
        <v>118935.87061285149</v>
      </c>
      <c r="AR20" s="20">
        <f t="shared" si="4"/>
        <v>121209.63553460687</v>
      </c>
      <c r="AS20" s="20">
        <f t="shared" si="4"/>
        <v>123466.22165010271</v>
      </c>
      <c r="AT20" s="20">
        <f t="shared" si="4"/>
        <v>125726.9346548382</v>
      </c>
      <c r="AU20" s="20">
        <f t="shared" si="4"/>
        <v>127971.10469995253</v>
      </c>
      <c r="AV20" s="20">
        <f t="shared" si="4"/>
        <v>130199.08834867598</v>
      </c>
      <c r="AW20" s="20">
        <f t="shared" si="4"/>
        <v>132432.27068929735</v>
      </c>
      <c r="AX20" s="20">
        <f t="shared" si="4"/>
        <v>134021.06761716842</v>
      </c>
      <c r="AY20" s="20">
        <f t="shared" si="4"/>
        <v>136265.92829926917</v>
      </c>
      <c r="AZ20" s="80">
        <f t="shared" si="4"/>
        <v>138517.33783593797</v>
      </c>
      <c r="BA20" s="20">
        <f t="shared" si="4"/>
        <v>140817.82013554027</v>
      </c>
      <c r="BB20" s="20">
        <f t="shared" si="4"/>
        <v>143125.94101911079</v>
      </c>
      <c r="BC20" s="20">
        <f t="shared" si="4"/>
        <v>145463.31157336687</v>
      </c>
      <c r="BD20" s="20">
        <f t="shared" si="4"/>
        <v>147201.59177196352</v>
      </c>
      <c r="BE20" s="20">
        <f t="shared" si="4"/>
        <v>149620.49438644788</v>
      </c>
      <c r="BF20" s="20">
        <f t="shared" si="4"/>
        <v>152070.78921009094</v>
      </c>
      <c r="BG20" s="20">
        <f t="shared" si="4"/>
        <v>154595.30761962559</v>
      </c>
      <c r="BH20" s="20">
        <f t="shared" si="4"/>
        <v>157194.94750192287</v>
      </c>
      <c r="BI20" s="20">
        <f t="shared" si="4"/>
        <v>159870.67857480398</v>
      </c>
      <c r="BJ20" s="20">
        <f t="shared" si="4"/>
        <v>161973.54813351558</v>
      </c>
      <c r="BK20" s="67">
        <f t="shared" si="4"/>
        <v>164825.68725692405</v>
      </c>
    </row>
    <row r="21" spans="2:63" x14ac:dyDescent="0.2">
      <c r="B21" s="2"/>
      <c r="C21" s="3"/>
      <c r="D21" s="274"/>
      <c r="E21" s="275"/>
      <c r="F21" s="275"/>
      <c r="G21" s="275"/>
      <c r="O21" s="3"/>
      <c r="AB21" s="2"/>
      <c r="AM21" s="3"/>
      <c r="AZ21" s="2"/>
      <c r="BK21" s="3"/>
    </row>
    <row r="22" spans="2:63" x14ac:dyDescent="0.2">
      <c r="B22" s="45" t="s">
        <v>33</v>
      </c>
      <c r="C22" s="3"/>
      <c r="D22" s="274"/>
      <c r="E22" s="275"/>
      <c r="F22" s="275"/>
      <c r="G22" s="275"/>
      <c r="O22" s="3"/>
      <c r="AB22" s="2"/>
      <c r="AM22" s="3"/>
      <c r="AZ22" s="2"/>
      <c r="BK22" s="3"/>
    </row>
    <row r="23" spans="2:63" x14ac:dyDescent="0.2">
      <c r="B23" s="68"/>
      <c r="C23" s="143" t="s">
        <v>47</v>
      </c>
      <c r="D23" s="268">
        <f>'E-Commerce P&amp;L'!E22</f>
        <v>0</v>
      </c>
      <c r="E23" s="269">
        <f>'E-Commerce P&amp;L'!F22</f>
        <v>0</v>
      </c>
      <c r="F23" s="269">
        <f>'E-Commerce P&amp;L'!G22</f>
        <v>0</v>
      </c>
      <c r="G23" s="269">
        <f>'E-Commerce P&amp;L'!H22</f>
        <v>9867</v>
      </c>
      <c r="H23" s="48">
        <f>'E-Commerce P&amp;L'!I22</f>
        <v>20000</v>
      </c>
      <c r="I23" s="48">
        <f>'E-Commerce P&amp;L'!J22</f>
        <v>20000</v>
      </c>
      <c r="J23" s="48">
        <f>'E-Commerce P&amp;L'!K22</f>
        <v>20000</v>
      </c>
      <c r="K23" s="48">
        <f>'E-Commerce P&amp;L'!L22</f>
        <v>20000</v>
      </c>
      <c r="L23" s="48">
        <f>'E-Commerce P&amp;L'!M22</f>
        <v>20000</v>
      </c>
      <c r="M23" s="48">
        <f>'E-Commerce P&amp;L'!N22</f>
        <v>20000</v>
      </c>
      <c r="N23" s="48">
        <f>'E-Commerce P&amp;L'!O22</f>
        <v>20000</v>
      </c>
      <c r="O23" s="66">
        <f>'E-Commerce P&amp;L'!P22</f>
        <v>20000</v>
      </c>
      <c r="P23" s="48">
        <f>'E-Commerce P&amp;L'!Q22</f>
        <v>20000</v>
      </c>
      <c r="Q23" s="48">
        <f>'E-Commerce P&amp;L'!R22</f>
        <v>20000</v>
      </c>
      <c r="R23" s="48">
        <f>'E-Commerce P&amp;L'!S22</f>
        <v>20000</v>
      </c>
      <c r="S23" s="48">
        <f>'E-Commerce P&amp;L'!T22</f>
        <v>20000</v>
      </c>
      <c r="T23" s="48">
        <f>'E-Commerce P&amp;L'!U22</f>
        <v>20000</v>
      </c>
      <c r="U23" s="48">
        <f>'E-Commerce P&amp;L'!V22</f>
        <v>20000</v>
      </c>
      <c r="V23" s="48">
        <f>'E-Commerce P&amp;L'!W22</f>
        <v>20000</v>
      </c>
      <c r="W23" s="48">
        <f>'E-Commerce P&amp;L'!X22</f>
        <v>20000</v>
      </c>
      <c r="X23" s="48">
        <f>'E-Commerce P&amp;L'!Y22</f>
        <v>20000</v>
      </c>
      <c r="Y23" s="48">
        <f>'E-Commerce P&amp;L'!Z22</f>
        <v>20000</v>
      </c>
      <c r="Z23" s="48">
        <f>'E-Commerce P&amp;L'!AA22</f>
        <v>20000</v>
      </c>
      <c r="AA23" s="48">
        <f>'E-Commerce P&amp;L'!AB22</f>
        <v>20000</v>
      </c>
      <c r="AB23" s="79">
        <f>'E-Commerce P&amp;L'!AC22</f>
        <v>20000</v>
      </c>
      <c r="AC23" s="48">
        <f>'E-Commerce P&amp;L'!AD22</f>
        <v>20000</v>
      </c>
      <c r="AD23" s="48">
        <f>'E-Commerce P&amp;L'!AE22</f>
        <v>20000</v>
      </c>
      <c r="AE23" s="48">
        <f>'E-Commerce P&amp;L'!AF22</f>
        <v>20000</v>
      </c>
      <c r="AF23" s="48">
        <f>'E-Commerce P&amp;L'!AG22</f>
        <v>20000</v>
      </c>
      <c r="AG23" s="48">
        <f>'E-Commerce P&amp;L'!AH22</f>
        <v>20000</v>
      </c>
      <c r="AH23" s="48">
        <f>'E-Commerce P&amp;L'!AI22</f>
        <v>20000</v>
      </c>
      <c r="AI23" s="48">
        <f>'E-Commerce P&amp;L'!AJ22</f>
        <v>20000</v>
      </c>
      <c r="AJ23" s="48">
        <f>'E-Commerce P&amp;L'!AK22</f>
        <v>20000</v>
      </c>
      <c r="AK23" s="48">
        <f>'E-Commerce P&amp;L'!AL22</f>
        <v>20000</v>
      </c>
      <c r="AL23" s="48">
        <f>'E-Commerce P&amp;L'!AM22</f>
        <v>20000</v>
      </c>
      <c r="AM23" s="66">
        <f>'E-Commerce P&amp;L'!AN22</f>
        <v>20000</v>
      </c>
      <c r="AN23" s="48">
        <f>'E-Commerce P&amp;L'!AO22</f>
        <v>20000</v>
      </c>
      <c r="AO23" s="48">
        <f>'E-Commerce P&amp;L'!AP22</f>
        <v>20000</v>
      </c>
      <c r="AP23" s="48">
        <f>'E-Commerce P&amp;L'!AQ22</f>
        <v>20000</v>
      </c>
      <c r="AQ23" s="48">
        <f>'E-Commerce P&amp;L'!AR22</f>
        <v>20000</v>
      </c>
      <c r="AR23" s="48">
        <f>'E-Commerce P&amp;L'!AS22</f>
        <v>20000</v>
      </c>
      <c r="AS23" s="48">
        <f>'E-Commerce P&amp;L'!AT22</f>
        <v>20000</v>
      </c>
      <c r="AT23" s="48">
        <f>'E-Commerce P&amp;L'!AU22</f>
        <v>20000</v>
      </c>
      <c r="AU23" s="48">
        <f>'E-Commerce P&amp;L'!AV22</f>
        <v>20000</v>
      </c>
      <c r="AV23" s="48">
        <f>'E-Commerce P&amp;L'!AW22</f>
        <v>20000</v>
      </c>
      <c r="AW23" s="48">
        <f>'E-Commerce P&amp;L'!AX22</f>
        <v>20000</v>
      </c>
      <c r="AX23" s="48">
        <f>'E-Commerce P&amp;L'!AY22</f>
        <v>20000</v>
      </c>
      <c r="AY23" s="48">
        <f>'E-Commerce P&amp;L'!AZ22</f>
        <v>20000</v>
      </c>
      <c r="AZ23" s="79">
        <f>'E-Commerce P&amp;L'!BA22</f>
        <v>20000</v>
      </c>
      <c r="BA23" s="48">
        <f>'E-Commerce P&amp;L'!BB22</f>
        <v>20000</v>
      </c>
      <c r="BB23" s="48">
        <f>'E-Commerce P&amp;L'!BC22</f>
        <v>20000</v>
      </c>
      <c r="BC23" s="48">
        <f>'E-Commerce P&amp;L'!BD22</f>
        <v>20000</v>
      </c>
      <c r="BD23" s="48">
        <f>'E-Commerce P&amp;L'!BE22</f>
        <v>20000</v>
      </c>
      <c r="BE23" s="48">
        <f>'E-Commerce P&amp;L'!BF22</f>
        <v>20000</v>
      </c>
      <c r="BF23" s="48">
        <f>'E-Commerce P&amp;L'!BG22</f>
        <v>20000</v>
      </c>
      <c r="BG23" s="48">
        <f>'E-Commerce P&amp;L'!BH22</f>
        <v>20000</v>
      </c>
      <c r="BH23" s="48">
        <f>'E-Commerce P&amp;L'!BI22</f>
        <v>20000</v>
      </c>
      <c r="BI23" s="48">
        <f>'E-Commerce P&amp;L'!BJ22</f>
        <v>20000</v>
      </c>
      <c r="BJ23" s="48">
        <f>'E-Commerce P&amp;L'!BK22</f>
        <v>20000</v>
      </c>
      <c r="BK23" s="66">
        <f>'E-Commerce P&amp;L'!BL22</f>
        <v>20000</v>
      </c>
    </row>
    <row r="24" spans="2:63" x14ac:dyDescent="0.2">
      <c r="B24" s="68"/>
      <c r="C24" s="143" t="s">
        <v>48</v>
      </c>
      <c r="D24" s="268">
        <f>'E-Commerce P&amp;L'!E23</f>
        <v>0</v>
      </c>
      <c r="E24" s="269">
        <f>'E-Commerce P&amp;L'!F23</f>
        <v>0</v>
      </c>
      <c r="F24" s="269">
        <f>'E-Commerce P&amp;L'!G23</f>
        <v>0</v>
      </c>
      <c r="G24" s="269">
        <f>'E-Commerce P&amp;L'!H23</f>
        <v>18657</v>
      </c>
      <c r="H24" s="48">
        <f>'E-Commerce P&amp;L'!I23</f>
        <v>30000</v>
      </c>
      <c r="I24" s="48">
        <f>'E-Commerce P&amp;L'!J23</f>
        <v>30000</v>
      </c>
      <c r="J24" s="48">
        <f>'E-Commerce P&amp;L'!K23</f>
        <v>30000</v>
      </c>
      <c r="K24" s="48">
        <f>'E-Commerce P&amp;L'!L23</f>
        <v>30000</v>
      </c>
      <c r="L24" s="48">
        <f>'E-Commerce P&amp;L'!M23</f>
        <v>30000</v>
      </c>
      <c r="M24" s="48">
        <f>'E-Commerce P&amp;L'!N23</f>
        <v>30000</v>
      </c>
      <c r="N24" s="48">
        <f>'E-Commerce P&amp;L'!O23</f>
        <v>30000</v>
      </c>
      <c r="O24" s="66">
        <f>'E-Commerce P&amp;L'!P23</f>
        <v>30000</v>
      </c>
      <c r="P24" s="48">
        <f>'E-Commerce P&amp;L'!Q23</f>
        <v>30000</v>
      </c>
      <c r="Q24" s="48">
        <f>'E-Commerce P&amp;L'!R23</f>
        <v>30000</v>
      </c>
      <c r="R24" s="48">
        <f>'E-Commerce P&amp;L'!S23</f>
        <v>30000</v>
      </c>
      <c r="S24" s="48">
        <f>'E-Commerce P&amp;L'!T23</f>
        <v>30000</v>
      </c>
      <c r="T24" s="48">
        <f>'E-Commerce P&amp;L'!U23</f>
        <v>30000</v>
      </c>
      <c r="U24" s="48">
        <f>'E-Commerce P&amp;L'!V23</f>
        <v>30000</v>
      </c>
      <c r="V24" s="48">
        <f>'E-Commerce P&amp;L'!W23</f>
        <v>30000</v>
      </c>
      <c r="W24" s="48">
        <f>'E-Commerce P&amp;L'!X23</f>
        <v>30000</v>
      </c>
      <c r="X24" s="48">
        <f>'E-Commerce P&amp;L'!Y23</f>
        <v>30000</v>
      </c>
      <c r="Y24" s="48">
        <f>'E-Commerce P&amp;L'!Z23</f>
        <v>30000</v>
      </c>
      <c r="Z24" s="48">
        <f>'E-Commerce P&amp;L'!AA23</f>
        <v>30000</v>
      </c>
      <c r="AA24" s="48">
        <f>'E-Commerce P&amp;L'!AB23</f>
        <v>30000</v>
      </c>
      <c r="AB24" s="79">
        <f>'E-Commerce P&amp;L'!AC23</f>
        <v>30000</v>
      </c>
      <c r="AC24" s="48">
        <f>'E-Commerce P&amp;L'!AD23</f>
        <v>30000</v>
      </c>
      <c r="AD24" s="48">
        <f>'E-Commerce P&amp;L'!AE23</f>
        <v>30000</v>
      </c>
      <c r="AE24" s="48">
        <f>'E-Commerce P&amp;L'!AF23</f>
        <v>30000</v>
      </c>
      <c r="AF24" s="48">
        <f>'E-Commerce P&amp;L'!AG23</f>
        <v>30000</v>
      </c>
      <c r="AG24" s="48">
        <f>'E-Commerce P&amp;L'!AH23</f>
        <v>30000</v>
      </c>
      <c r="AH24" s="48">
        <f>'E-Commerce P&amp;L'!AI23</f>
        <v>30000</v>
      </c>
      <c r="AI24" s="48">
        <f>'E-Commerce P&amp;L'!AJ23</f>
        <v>30000</v>
      </c>
      <c r="AJ24" s="48">
        <f>'E-Commerce P&amp;L'!AK23</f>
        <v>30000</v>
      </c>
      <c r="AK24" s="48">
        <f>'E-Commerce P&amp;L'!AL23</f>
        <v>30000</v>
      </c>
      <c r="AL24" s="48">
        <f>'E-Commerce P&amp;L'!AM23</f>
        <v>30000</v>
      </c>
      <c r="AM24" s="66">
        <f>'E-Commerce P&amp;L'!AN23</f>
        <v>30000</v>
      </c>
      <c r="AN24" s="48">
        <f>'E-Commerce P&amp;L'!AO23</f>
        <v>30000</v>
      </c>
      <c r="AO24" s="48">
        <f>'E-Commerce P&amp;L'!AP23</f>
        <v>30000</v>
      </c>
      <c r="AP24" s="48">
        <f>'E-Commerce P&amp;L'!AQ23</f>
        <v>30000</v>
      </c>
      <c r="AQ24" s="48">
        <f>'E-Commerce P&amp;L'!AR23</f>
        <v>30000</v>
      </c>
      <c r="AR24" s="48">
        <f>'E-Commerce P&amp;L'!AS23</f>
        <v>30000</v>
      </c>
      <c r="AS24" s="48">
        <f>'E-Commerce P&amp;L'!AT23</f>
        <v>30000</v>
      </c>
      <c r="AT24" s="48">
        <f>'E-Commerce P&amp;L'!AU23</f>
        <v>30000</v>
      </c>
      <c r="AU24" s="48">
        <f>'E-Commerce P&amp;L'!AV23</f>
        <v>30000</v>
      </c>
      <c r="AV24" s="48">
        <f>'E-Commerce P&amp;L'!AW23</f>
        <v>30000</v>
      </c>
      <c r="AW24" s="48">
        <f>'E-Commerce P&amp;L'!AX23</f>
        <v>30000</v>
      </c>
      <c r="AX24" s="48">
        <f>'E-Commerce P&amp;L'!AY23</f>
        <v>30000</v>
      </c>
      <c r="AY24" s="48">
        <f>'E-Commerce P&amp;L'!AZ23</f>
        <v>30000</v>
      </c>
      <c r="AZ24" s="79">
        <f>'E-Commerce P&amp;L'!BA23</f>
        <v>30000</v>
      </c>
      <c r="BA24" s="48">
        <f>'E-Commerce P&amp;L'!BB23</f>
        <v>30000</v>
      </c>
      <c r="BB24" s="48">
        <f>'E-Commerce P&amp;L'!BC23</f>
        <v>30000</v>
      </c>
      <c r="BC24" s="48">
        <f>'E-Commerce P&amp;L'!BD23</f>
        <v>30000</v>
      </c>
      <c r="BD24" s="48">
        <f>'E-Commerce P&amp;L'!BE23</f>
        <v>30000</v>
      </c>
      <c r="BE24" s="48">
        <f>'E-Commerce P&amp;L'!BF23</f>
        <v>30000</v>
      </c>
      <c r="BF24" s="48">
        <f>'E-Commerce P&amp;L'!BG23</f>
        <v>30000</v>
      </c>
      <c r="BG24" s="48">
        <f>'E-Commerce P&amp;L'!BH23</f>
        <v>30000</v>
      </c>
      <c r="BH24" s="48">
        <f>'E-Commerce P&amp;L'!BI23</f>
        <v>30000</v>
      </c>
      <c r="BI24" s="48">
        <f>'E-Commerce P&amp;L'!BJ23</f>
        <v>30000</v>
      </c>
      <c r="BJ24" s="48">
        <f>'E-Commerce P&amp;L'!BK23</f>
        <v>30000</v>
      </c>
      <c r="BK24" s="66">
        <f>'E-Commerce P&amp;L'!BL23</f>
        <v>30000</v>
      </c>
    </row>
    <row r="25" spans="2:63" x14ac:dyDescent="0.2">
      <c r="B25" s="68"/>
      <c r="C25" s="143" t="s">
        <v>49</v>
      </c>
      <c r="D25" s="268"/>
      <c r="E25" s="269"/>
      <c r="F25" s="269"/>
      <c r="G25" s="269"/>
      <c r="H25" s="48"/>
      <c r="I25" s="48"/>
      <c r="J25" s="48"/>
      <c r="K25" s="48"/>
      <c r="L25" s="48"/>
      <c r="M25" s="48"/>
      <c r="N25" s="48"/>
      <c r="O25" s="66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79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66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79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66"/>
    </row>
    <row r="26" spans="2:63" x14ac:dyDescent="0.2">
      <c r="B26" s="68"/>
      <c r="C26" s="143" t="s">
        <v>52</v>
      </c>
      <c r="D26" s="270">
        <f>'E-Commerce P&amp;L'!E25</f>
        <v>0</v>
      </c>
      <c r="E26" s="271">
        <f>'E-Commerce P&amp;L'!F25</f>
        <v>3750</v>
      </c>
      <c r="F26" s="271">
        <f>'E-Commerce P&amp;L'!G25</f>
        <v>3750</v>
      </c>
      <c r="G26" s="271">
        <f>'E-Commerce P&amp;L'!H25</f>
        <v>3750</v>
      </c>
      <c r="H26" s="38">
        <f>'E-Commerce P&amp;L'!I25</f>
        <v>3750</v>
      </c>
      <c r="I26" s="38">
        <f>'E-Commerce P&amp;L'!J25</f>
        <v>3750</v>
      </c>
      <c r="J26" s="38">
        <f>'E-Commerce P&amp;L'!K25</f>
        <v>3750</v>
      </c>
      <c r="K26" s="38">
        <f>'E-Commerce P&amp;L'!L25</f>
        <v>3750</v>
      </c>
      <c r="L26" s="38">
        <f>'E-Commerce P&amp;L'!M25</f>
        <v>3750</v>
      </c>
      <c r="M26" s="38">
        <f>'E-Commerce P&amp;L'!N25</f>
        <v>3750</v>
      </c>
      <c r="N26" s="38">
        <f>'E-Commerce P&amp;L'!O25</f>
        <v>3750</v>
      </c>
      <c r="O26" s="84">
        <f>'E-Commerce P&amp;L'!P25</f>
        <v>3750</v>
      </c>
      <c r="P26" s="38">
        <f>'E-Commerce P&amp;L'!Q25</f>
        <v>3750</v>
      </c>
      <c r="Q26" s="38">
        <f>'E-Commerce P&amp;L'!R25</f>
        <v>3750</v>
      </c>
      <c r="R26" s="38">
        <f>'E-Commerce P&amp;L'!S25</f>
        <v>3750</v>
      </c>
      <c r="S26" s="38">
        <f>'E-Commerce P&amp;L'!T25</f>
        <v>3750</v>
      </c>
      <c r="T26" s="38">
        <f>'E-Commerce P&amp;L'!U25</f>
        <v>3750</v>
      </c>
      <c r="U26" s="38">
        <f>'E-Commerce P&amp;L'!V25</f>
        <v>3750</v>
      </c>
      <c r="V26" s="38">
        <f>'E-Commerce P&amp;L'!W25</f>
        <v>3750</v>
      </c>
      <c r="W26" s="38">
        <f>'E-Commerce P&amp;L'!X25</f>
        <v>3750</v>
      </c>
      <c r="X26" s="38">
        <f>'E-Commerce P&amp;L'!Y25</f>
        <v>3750</v>
      </c>
      <c r="Y26" s="38">
        <f>'E-Commerce P&amp;L'!Z25</f>
        <v>3750</v>
      </c>
      <c r="Z26" s="38">
        <f>'E-Commerce P&amp;L'!AA25</f>
        <v>3750</v>
      </c>
      <c r="AA26" s="38">
        <f>'E-Commerce P&amp;L'!AB25</f>
        <v>3750</v>
      </c>
      <c r="AB26" s="83">
        <f>'E-Commerce P&amp;L'!AC25</f>
        <v>3750</v>
      </c>
      <c r="AC26" s="38">
        <f>'E-Commerce P&amp;L'!AD25</f>
        <v>3750</v>
      </c>
      <c r="AD26" s="38">
        <f>'E-Commerce P&amp;L'!AE25</f>
        <v>3750</v>
      </c>
      <c r="AE26" s="38">
        <f>'E-Commerce P&amp;L'!AF25</f>
        <v>3750</v>
      </c>
      <c r="AF26" s="38">
        <f>'E-Commerce P&amp;L'!AG25</f>
        <v>3750</v>
      </c>
      <c r="AG26" s="38">
        <f>'E-Commerce P&amp;L'!AH25</f>
        <v>3750</v>
      </c>
      <c r="AH26" s="38">
        <f>'E-Commerce P&amp;L'!AI25</f>
        <v>3750</v>
      </c>
      <c r="AI26" s="38">
        <f>'E-Commerce P&amp;L'!AJ25</f>
        <v>3750</v>
      </c>
      <c r="AJ26" s="38">
        <f>'E-Commerce P&amp;L'!AK25</f>
        <v>3750</v>
      </c>
      <c r="AK26" s="38">
        <f>'E-Commerce P&amp;L'!AL25</f>
        <v>3750</v>
      </c>
      <c r="AL26" s="38">
        <f>'E-Commerce P&amp;L'!AM25</f>
        <v>3750</v>
      </c>
      <c r="AM26" s="84">
        <f>'E-Commerce P&amp;L'!AN25</f>
        <v>3750</v>
      </c>
      <c r="AN26" s="38">
        <f>'E-Commerce P&amp;L'!AO25</f>
        <v>3750</v>
      </c>
      <c r="AO26" s="38">
        <f>'E-Commerce P&amp;L'!AP25</f>
        <v>3750</v>
      </c>
      <c r="AP26" s="38">
        <f>'E-Commerce P&amp;L'!AQ25</f>
        <v>3750</v>
      </c>
      <c r="AQ26" s="38">
        <f>'E-Commerce P&amp;L'!AR25</f>
        <v>3750</v>
      </c>
      <c r="AR26" s="38">
        <f>'E-Commerce P&amp;L'!AS25</f>
        <v>3750</v>
      </c>
      <c r="AS26" s="38">
        <f>'E-Commerce P&amp;L'!AT25</f>
        <v>3750</v>
      </c>
      <c r="AT26" s="38">
        <f>'E-Commerce P&amp;L'!AU25</f>
        <v>3750</v>
      </c>
      <c r="AU26" s="38">
        <f>'E-Commerce P&amp;L'!AV25</f>
        <v>3750</v>
      </c>
      <c r="AV26" s="38">
        <f>'E-Commerce P&amp;L'!AW25</f>
        <v>3750</v>
      </c>
      <c r="AW26" s="38">
        <f>'E-Commerce P&amp;L'!AX25</f>
        <v>3750</v>
      </c>
      <c r="AX26" s="38">
        <f>'E-Commerce P&amp;L'!AY25</f>
        <v>3750</v>
      </c>
      <c r="AY26" s="38">
        <f>'E-Commerce P&amp;L'!AZ25</f>
        <v>3750</v>
      </c>
      <c r="AZ26" s="83">
        <f>'E-Commerce P&amp;L'!BA25</f>
        <v>3750</v>
      </c>
      <c r="BA26" s="38">
        <f>'E-Commerce P&amp;L'!BB25</f>
        <v>3750</v>
      </c>
      <c r="BB26" s="38">
        <f>'E-Commerce P&amp;L'!BC25</f>
        <v>3750</v>
      </c>
      <c r="BC26" s="38">
        <f>'E-Commerce P&amp;L'!BD25</f>
        <v>3750</v>
      </c>
      <c r="BD26" s="38">
        <f>'E-Commerce P&amp;L'!BE25</f>
        <v>3750</v>
      </c>
      <c r="BE26" s="38">
        <f>'E-Commerce P&amp;L'!BF25</f>
        <v>3750</v>
      </c>
      <c r="BF26" s="38">
        <f>'E-Commerce P&amp;L'!BG25</f>
        <v>3750</v>
      </c>
      <c r="BG26" s="38">
        <f>'E-Commerce P&amp;L'!BH25</f>
        <v>3750</v>
      </c>
      <c r="BH26" s="38">
        <f>'E-Commerce P&amp;L'!BI25</f>
        <v>3750</v>
      </c>
      <c r="BI26" s="38">
        <f>'E-Commerce P&amp;L'!BJ25</f>
        <v>3750</v>
      </c>
      <c r="BJ26" s="38">
        <f>'E-Commerce P&amp;L'!BK25</f>
        <v>3750</v>
      </c>
      <c r="BK26" s="84">
        <f>'E-Commerce P&amp;L'!BL25</f>
        <v>3750</v>
      </c>
    </row>
    <row r="27" spans="2:63" s="1" customFormat="1" x14ac:dyDescent="0.2">
      <c r="B27" s="45"/>
      <c r="C27" s="144" t="s">
        <v>34</v>
      </c>
      <c r="D27" s="279">
        <f>SUM(D23:D26)</f>
        <v>0</v>
      </c>
      <c r="E27" s="280">
        <f t="shared" ref="E27:BK27" si="5">SUM(E23:E26)</f>
        <v>3750</v>
      </c>
      <c r="F27" s="280">
        <f t="shared" si="5"/>
        <v>3750</v>
      </c>
      <c r="G27" s="280">
        <f t="shared" si="5"/>
        <v>32274</v>
      </c>
      <c r="H27" s="20">
        <f t="shared" si="5"/>
        <v>53750</v>
      </c>
      <c r="I27" s="20">
        <f t="shared" si="5"/>
        <v>53750</v>
      </c>
      <c r="J27" s="20">
        <f t="shared" si="5"/>
        <v>53750</v>
      </c>
      <c r="K27" s="20">
        <f t="shared" si="5"/>
        <v>53750</v>
      </c>
      <c r="L27" s="20">
        <f t="shared" si="5"/>
        <v>53750</v>
      </c>
      <c r="M27" s="20">
        <f t="shared" si="5"/>
        <v>53750</v>
      </c>
      <c r="N27" s="20">
        <f t="shared" si="5"/>
        <v>53750</v>
      </c>
      <c r="O27" s="67">
        <f t="shared" si="5"/>
        <v>53750</v>
      </c>
      <c r="P27" s="20">
        <f t="shared" si="5"/>
        <v>53750</v>
      </c>
      <c r="Q27" s="20">
        <f t="shared" si="5"/>
        <v>53750</v>
      </c>
      <c r="R27" s="20">
        <f t="shared" si="5"/>
        <v>53750</v>
      </c>
      <c r="S27" s="20">
        <f t="shared" si="5"/>
        <v>53750</v>
      </c>
      <c r="T27" s="20">
        <f t="shared" si="5"/>
        <v>53750</v>
      </c>
      <c r="U27" s="20">
        <f t="shared" si="5"/>
        <v>53750</v>
      </c>
      <c r="V27" s="20">
        <f t="shared" si="5"/>
        <v>53750</v>
      </c>
      <c r="W27" s="20">
        <f t="shared" si="5"/>
        <v>53750</v>
      </c>
      <c r="X27" s="20">
        <f t="shared" si="5"/>
        <v>53750</v>
      </c>
      <c r="Y27" s="20">
        <f t="shared" si="5"/>
        <v>53750</v>
      </c>
      <c r="Z27" s="20">
        <f t="shared" si="5"/>
        <v>53750</v>
      </c>
      <c r="AA27" s="20">
        <f t="shared" si="5"/>
        <v>53750</v>
      </c>
      <c r="AB27" s="80">
        <f t="shared" si="5"/>
        <v>53750</v>
      </c>
      <c r="AC27" s="20">
        <f t="shared" si="5"/>
        <v>53750</v>
      </c>
      <c r="AD27" s="20">
        <f t="shared" si="5"/>
        <v>53750</v>
      </c>
      <c r="AE27" s="20">
        <f t="shared" si="5"/>
        <v>53750</v>
      </c>
      <c r="AF27" s="20">
        <f t="shared" si="5"/>
        <v>53750</v>
      </c>
      <c r="AG27" s="20">
        <f t="shared" si="5"/>
        <v>53750</v>
      </c>
      <c r="AH27" s="20">
        <f t="shared" si="5"/>
        <v>53750</v>
      </c>
      <c r="AI27" s="20">
        <f t="shared" si="5"/>
        <v>53750</v>
      </c>
      <c r="AJ27" s="20">
        <f t="shared" si="5"/>
        <v>53750</v>
      </c>
      <c r="AK27" s="20">
        <f t="shared" si="5"/>
        <v>53750</v>
      </c>
      <c r="AL27" s="20">
        <f t="shared" si="5"/>
        <v>53750</v>
      </c>
      <c r="AM27" s="67">
        <f t="shared" si="5"/>
        <v>53750</v>
      </c>
      <c r="AN27" s="20">
        <f t="shared" si="5"/>
        <v>53750</v>
      </c>
      <c r="AO27" s="20">
        <f t="shared" si="5"/>
        <v>53750</v>
      </c>
      <c r="AP27" s="20">
        <f t="shared" si="5"/>
        <v>53750</v>
      </c>
      <c r="AQ27" s="20">
        <f t="shared" si="5"/>
        <v>53750</v>
      </c>
      <c r="AR27" s="20">
        <f t="shared" si="5"/>
        <v>53750</v>
      </c>
      <c r="AS27" s="20">
        <f t="shared" si="5"/>
        <v>53750</v>
      </c>
      <c r="AT27" s="20">
        <f t="shared" si="5"/>
        <v>53750</v>
      </c>
      <c r="AU27" s="20">
        <f t="shared" si="5"/>
        <v>53750</v>
      </c>
      <c r="AV27" s="20">
        <f t="shared" si="5"/>
        <v>53750</v>
      </c>
      <c r="AW27" s="20">
        <f t="shared" si="5"/>
        <v>53750</v>
      </c>
      <c r="AX27" s="20">
        <f t="shared" si="5"/>
        <v>53750</v>
      </c>
      <c r="AY27" s="20">
        <f t="shared" si="5"/>
        <v>53750</v>
      </c>
      <c r="AZ27" s="80">
        <f t="shared" si="5"/>
        <v>53750</v>
      </c>
      <c r="BA27" s="20">
        <f t="shared" si="5"/>
        <v>53750</v>
      </c>
      <c r="BB27" s="20">
        <f t="shared" si="5"/>
        <v>53750</v>
      </c>
      <c r="BC27" s="20">
        <f t="shared" si="5"/>
        <v>53750</v>
      </c>
      <c r="BD27" s="20">
        <f t="shared" si="5"/>
        <v>53750</v>
      </c>
      <c r="BE27" s="20">
        <f t="shared" si="5"/>
        <v>53750</v>
      </c>
      <c r="BF27" s="20">
        <f t="shared" si="5"/>
        <v>53750</v>
      </c>
      <c r="BG27" s="20">
        <f t="shared" si="5"/>
        <v>53750</v>
      </c>
      <c r="BH27" s="20">
        <f t="shared" si="5"/>
        <v>53750</v>
      </c>
      <c r="BI27" s="20">
        <f t="shared" si="5"/>
        <v>53750</v>
      </c>
      <c r="BJ27" s="20">
        <f t="shared" si="5"/>
        <v>53750</v>
      </c>
      <c r="BK27" s="67">
        <f t="shared" si="5"/>
        <v>53750</v>
      </c>
    </row>
    <row r="28" spans="2:63" x14ac:dyDescent="0.2">
      <c r="B28" s="2"/>
      <c r="C28" s="3"/>
      <c r="D28" s="274"/>
      <c r="E28" s="275"/>
      <c r="F28" s="275"/>
      <c r="G28" s="275"/>
      <c r="O28" s="3"/>
      <c r="AB28" s="2"/>
      <c r="AM28" s="3"/>
      <c r="AZ28" s="2"/>
      <c r="BK28" s="3"/>
    </row>
    <row r="29" spans="2:63" s="1" customFormat="1" x14ac:dyDescent="0.2">
      <c r="B29" s="45" t="s">
        <v>35</v>
      </c>
      <c r="C29" s="47"/>
      <c r="D29" s="279">
        <f>D20-D27</f>
        <v>16233.5</v>
      </c>
      <c r="E29" s="280">
        <f t="shared" ref="E29:BK29" si="6">E20-E27</f>
        <v>13144.5</v>
      </c>
      <c r="F29" s="280">
        <f t="shared" si="6"/>
        <v>26141</v>
      </c>
      <c r="G29" s="280">
        <f t="shared" si="6"/>
        <v>7622.5875708943349</v>
      </c>
      <c r="H29" s="20">
        <f t="shared" si="6"/>
        <v>-4741.3795312782313</v>
      </c>
      <c r="I29" s="20">
        <f t="shared" si="6"/>
        <v>-139.14897263823514</v>
      </c>
      <c r="J29" s="20">
        <f t="shared" si="6"/>
        <v>3729.3400306929616</v>
      </c>
      <c r="K29" s="20">
        <f t="shared" si="6"/>
        <v>8122.1081542906613</v>
      </c>
      <c r="L29" s="20">
        <f t="shared" si="6"/>
        <v>12410.177727776172</v>
      </c>
      <c r="M29" s="20">
        <f t="shared" si="6"/>
        <v>16593.572867140523</v>
      </c>
      <c r="N29" s="20">
        <f t="shared" si="6"/>
        <v>20022.319617654022</v>
      </c>
      <c r="O29" s="67">
        <f t="shared" si="6"/>
        <v>23996.446108208605</v>
      </c>
      <c r="P29" s="20">
        <f t="shared" si="6"/>
        <v>27865.982718007552</v>
      </c>
      <c r="Q29" s="20">
        <f t="shared" si="6"/>
        <v>31672.962256590414</v>
      </c>
      <c r="R29" s="20">
        <f t="shared" si="6"/>
        <v>34725.420158259905</v>
      </c>
      <c r="S29" s="20">
        <f t="shared" si="6"/>
        <v>38344.394692062982</v>
      </c>
      <c r="T29" s="20">
        <f t="shared" si="6"/>
        <v>41879.927188570262</v>
      </c>
      <c r="U29" s="20">
        <f t="shared" si="6"/>
        <v>45332.062284798129</v>
      </c>
      <c r="V29" s="20">
        <f t="shared" si="6"/>
        <v>48050.848188724223</v>
      </c>
      <c r="W29" s="20">
        <f t="shared" si="6"/>
        <v>51336.336964964459</v>
      </c>
      <c r="X29" s="20">
        <f t="shared" si="6"/>
        <v>54559.584843303877</v>
      </c>
      <c r="Y29" s="20">
        <f t="shared" si="6"/>
        <v>57699.652551910433</v>
      </c>
      <c r="Z29" s="20">
        <f t="shared" si="6"/>
        <v>60127.605677205545</v>
      </c>
      <c r="AA29" s="20">
        <f t="shared" si="6"/>
        <v>63143.515052524235</v>
      </c>
      <c r="AB29" s="80">
        <f t="shared" si="6"/>
        <v>28864.027783055746</v>
      </c>
      <c r="AC29" s="20">
        <f t="shared" si="6"/>
        <v>31756.08527842749</v>
      </c>
      <c r="AD29" s="20">
        <f t="shared" si="6"/>
        <v>34586.347373428958</v>
      </c>
      <c r="AE29" s="20">
        <f t="shared" si="6"/>
        <v>36704.910436030565</v>
      </c>
      <c r="AF29" s="20">
        <f t="shared" si="6"/>
        <v>39411.878543640254</v>
      </c>
      <c r="AG29" s="20">
        <f t="shared" si="6"/>
        <v>42078.364099858765</v>
      </c>
      <c r="AH29" s="20">
        <f t="shared" si="6"/>
        <v>44704.488500574706</v>
      </c>
      <c r="AI29" s="20">
        <f t="shared" si="6"/>
        <v>47290.382853347954</v>
      </c>
      <c r="AJ29" s="20">
        <f t="shared" si="6"/>
        <v>49794.188754343064</v>
      </c>
      <c r="AK29" s="20">
        <f t="shared" si="6"/>
        <v>51629.0591274178</v>
      </c>
      <c r="AL29" s="20">
        <f t="shared" si="6"/>
        <v>54074.159130338492</v>
      </c>
      <c r="AM29" s="67">
        <f t="shared" si="6"/>
        <v>56479.66713349284</v>
      </c>
      <c r="AN29" s="20">
        <f t="shared" si="6"/>
        <v>58866.775776899536</v>
      </c>
      <c r="AO29" s="20">
        <f t="shared" si="6"/>
        <v>61214.693111778761</v>
      </c>
      <c r="AP29" s="20">
        <f t="shared" si="6"/>
        <v>63523.643833448354</v>
      </c>
      <c r="AQ29" s="20">
        <f t="shared" si="6"/>
        <v>65185.87061285149</v>
      </c>
      <c r="AR29" s="20">
        <f t="shared" si="6"/>
        <v>67459.635534606874</v>
      </c>
      <c r="AS29" s="20">
        <f t="shared" si="6"/>
        <v>69716.221650102714</v>
      </c>
      <c r="AT29" s="20">
        <f t="shared" si="6"/>
        <v>71976.934654838202</v>
      </c>
      <c r="AU29" s="20">
        <f t="shared" si="6"/>
        <v>74221.104699952528</v>
      </c>
      <c r="AV29" s="20">
        <f t="shared" si="6"/>
        <v>76449.088348675985</v>
      </c>
      <c r="AW29" s="20">
        <f t="shared" si="6"/>
        <v>78682.270689297351</v>
      </c>
      <c r="AX29" s="20">
        <f t="shared" si="6"/>
        <v>80271.067617168417</v>
      </c>
      <c r="AY29" s="20">
        <f t="shared" si="6"/>
        <v>82515.928299269173</v>
      </c>
      <c r="AZ29" s="80">
        <f t="shared" si="6"/>
        <v>84767.337835937971</v>
      </c>
      <c r="BA29" s="20">
        <f t="shared" si="6"/>
        <v>87067.820135540271</v>
      </c>
      <c r="BB29" s="20">
        <f t="shared" si="6"/>
        <v>89375.941019110789</v>
      </c>
      <c r="BC29" s="20">
        <f t="shared" si="6"/>
        <v>91713.311573366867</v>
      </c>
      <c r="BD29" s="20">
        <f t="shared" si="6"/>
        <v>93451.591771963518</v>
      </c>
      <c r="BE29" s="20">
        <f t="shared" si="6"/>
        <v>95870.494386447885</v>
      </c>
      <c r="BF29" s="20">
        <f t="shared" si="6"/>
        <v>98320.789210090938</v>
      </c>
      <c r="BG29" s="20">
        <f t="shared" si="6"/>
        <v>100845.30761962559</v>
      </c>
      <c r="BH29" s="20">
        <f t="shared" si="6"/>
        <v>103444.94750192287</v>
      </c>
      <c r="BI29" s="20">
        <f t="shared" si="6"/>
        <v>106120.67857480398</v>
      </c>
      <c r="BJ29" s="20">
        <f t="shared" si="6"/>
        <v>108223.54813351558</v>
      </c>
      <c r="BK29" s="67">
        <f t="shared" si="6"/>
        <v>111075.68725692405</v>
      </c>
    </row>
    <row r="30" spans="2:63" x14ac:dyDescent="0.2">
      <c r="B30" s="2"/>
      <c r="C30" s="3"/>
      <c r="D30" s="274"/>
      <c r="E30" s="275"/>
      <c r="F30" s="275"/>
      <c r="G30" s="275"/>
      <c r="O30" s="3"/>
      <c r="AB30" s="2"/>
      <c r="AM30" s="3"/>
      <c r="AZ30" s="2"/>
      <c r="BK30" s="3"/>
    </row>
    <row r="31" spans="2:63" x14ac:dyDescent="0.2">
      <c r="B31" s="45" t="s">
        <v>36</v>
      </c>
      <c r="C31" s="3"/>
      <c r="D31" s="274"/>
      <c r="E31" s="275"/>
      <c r="F31" s="275"/>
      <c r="G31" s="275"/>
      <c r="O31" s="3"/>
      <c r="AB31" s="2"/>
      <c r="AM31" s="3"/>
      <c r="AZ31" s="2"/>
      <c r="BK31" s="3"/>
    </row>
    <row r="32" spans="2:63" x14ac:dyDescent="0.2">
      <c r="B32" s="2"/>
      <c r="C32" s="3" t="s">
        <v>54</v>
      </c>
      <c r="D32" s="268">
        <f>'E-Commerce P&amp;L'!E31</f>
        <v>12000</v>
      </c>
      <c r="E32" s="269">
        <f>'E-Commerce P&amp;L'!F31</f>
        <v>12000</v>
      </c>
      <c r="F32" s="269">
        <f>'E-Commerce P&amp;L'!G31</f>
        <v>12000</v>
      </c>
      <c r="G32" s="269">
        <f>'E-Commerce P&amp;L'!H31</f>
        <v>12000</v>
      </c>
      <c r="H32" s="48">
        <f>'E-Commerce P&amp;L'!I31</f>
        <v>12000</v>
      </c>
      <c r="I32" s="48">
        <f>'E-Commerce P&amp;L'!J31</f>
        <v>12000</v>
      </c>
      <c r="J32" s="48">
        <f>'E-Commerce P&amp;L'!K31</f>
        <v>12000</v>
      </c>
      <c r="K32" s="48">
        <f>'E-Commerce P&amp;L'!L31</f>
        <v>12000</v>
      </c>
      <c r="L32" s="48">
        <f>'E-Commerce P&amp;L'!M31</f>
        <v>12000</v>
      </c>
      <c r="M32" s="48">
        <f>'E-Commerce P&amp;L'!N31</f>
        <v>12000</v>
      </c>
      <c r="N32" s="48">
        <f>'E-Commerce P&amp;L'!O31</f>
        <v>12000</v>
      </c>
      <c r="O32" s="66">
        <f>'E-Commerce P&amp;L'!P31</f>
        <v>12000</v>
      </c>
      <c r="P32" s="48">
        <f>'E-Commerce P&amp;L'!Q31</f>
        <v>26000</v>
      </c>
      <c r="Q32" s="48">
        <f>'E-Commerce P&amp;L'!R31</f>
        <v>26000</v>
      </c>
      <c r="R32" s="48">
        <f>'E-Commerce P&amp;L'!S31</f>
        <v>26000</v>
      </c>
      <c r="S32" s="48">
        <f>'E-Commerce P&amp;L'!T31</f>
        <v>26000</v>
      </c>
      <c r="T32" s="48">
        <f>'E-Commerce P&amp;L'!U31</f>
        <v>26000</v>
      </c>
      <c r="U32" s="48">
        <f>'E-Commerce P&amp;L'!V31</f>
        <v>26000</v>
      </c>
      <c r="V32" s="48">
        <f>'E-Commerce P&amp;L'!W31</f>
        <v>26000</v>
      </c>
      <c r="W32" s="48">
        <f>'E-Commerce P&amp;L'!X31</f>
        <v>26000</v>
      </c>
      <c r="X32" s="48">
        <f>'E-Commerce P&amp;L'!Y31</f>
        <v>26000</v>
      </c>
      <c r="Y32" s="48">
        <f>'E-Commerce P&amp;L'!Z31</f>
        <v>26000</v>
      </c>
      <c r="Z32" s="48">
        <f>'E-Commerce P&amp;L'!AA31</f>
        <v>26000</v>
      </c>
      <c r="AA32" s="48">
        <f>'E-Commerce P&amp;L'!AB31</f>
        <v>26000</v>
      </c>
      <c r="AB32" s="79">
        <f>'E-Commerce P&amp;L'!AC31</f>
        <v>26000</v>
      </c>
      <c r="AC32" s="48">
        <f>'E-Commerce P&amp;L'!AD31</f>
        <v>26000</v>
      </c>
      <c r="AD32" s="48">
        <f>'E-Commerce P&amp;L'!AE31</f>
        <v>26000</v>
      </c>
      <c r="AE32" s="48">
        <f>'E-Commerce P&amp;L'!AF31</f>
        <v>26000</v>
      </c>
      <c r="AF32" s="48">
        <f>'E-Commerce P&amp;L'!AG31</f>
        <v>26000</v>
      </c>
      <c r="AG32" s="48">
        <f>'E-Commerce P&amp;L'!AH31</f>
        <v>26000</v>
      </c>
      <c r="AH32" s="48">
        <f>'E-Commerce P&amp;L'!AI31</f>
        <v>26000</v>
      </c>
      <c r="AI32" s="48">
        <f>'E-Commerce P&amp;L'!AJ31</f>
        <v>26000</v>
      </c>
      <c r="AJ32" s="48">
        <f>'E-Commerce P&amp;L'!AK31</f>
        <v>26000</v>
      </c>
      <c r="AK32" s="48">
        <f>'E-Commerce P&amp;L'!AL31</f>
        <v>26000</v>
      </c>
      <c r="AL32" s="48">
        <f>'E-Commerce P&amp;L'!AM31</f>
        <v>26000</v>
      </c>
      <c r="AM32" s="66">
        <f>'E-Commerce P&amp;L'!AN31</f>
        <v>26000</v>
      </c>
      <c r="AN32" s="48">
        <f>'E-Commerce P&amp;L'!AO31</f>
        <v>26000</v>
      </c>
      <c r="AO32" s="48">
        <f>'E-Commerce P&amp;L'!AP31</f>
        <v>26000</v>
      </c>
      <c r="AP32" s="48">
        <f>'E-Commerce P&amp;L'!AQ31</f>
        <v>26000</v>
      </c>
      <c r="AQ32" s="48">
        <f>'E-Commerce P&amp;L'!AR31</f>
        <v>26000</v>
      </c>
      <c r="AR32" s="48">
        <f>'E-Commerce P&amp;L'!AS31</f>
        <v>26000</v>
      </c>
      <c r="AS32" s="48">
        <f>'E-Commerce P&amp;L'!AT31</f>
        <v>26000</v>
      </c>
      <c r="AT32" s="48">
        <f>'E-Commerce P&amp;L'!AU31</f>
        <v>26000</v>
      </c>
      <c r="AU32" s="48">
        <f>'E-Commerce P&amp;L'!AV31</f>
        <v>26000</v>
      </c>
      <c r="AV32" s="48">
        <f>'E-Commerce P&amp;L'!AW31</f>
        <v>26000</v>
      </c>
      <c r="AW32" s="48">
        <f>'E-Commerce P&amp;L'!AX31</f>
        <v>26000</v>
      </c>
      <c r="AX32" s="48">
        <f>'E-Commerce P&amp;L'!AY31</f>
        <v>26000</v>
      </c>
      <c r="AY32" s="48">
        <f>'E-Commerce P&amp;L'!AZ31</f>
        <v>26000</v>
      </c>
      <c r="AZ32" s="79">
        <f>'E-Commerce P&amp;L'!BA31</f>
        <v>26000</v>
      </c>
      <c r="BA32" s="48">
        <f>'E-Commerce P&amp;L'!BB31</f>
        <v>26000</v>
      </c>
      <c r="BB32" s="48">
        <f>'E-Commerce P&amp;L'!BC31</f>
        <v>26000</v>
      </c>
      <c r="BC32" s="48">
        <f>'E-Commerce P&amp;L'!BD31</f>
        <v>26000</v>
      </c>
      <c r="BD32" s="48">
        <f>'E-Commerce P&amp;L'!BE31</f>
        <v>26000</v>
      </c>
      <c r="BE32" s="48">
        <f>'E-Commerce P&amp;L'!BF31</f>
        <v>26000</v>
      </c>
      <c r="BF32" s="48">
        <f>'E-Commerce P&amp;L'!BG31</f>
        <v>26000</v>
      </c>
      <c r="BG32" s="48">
        <f>'E-Commerce P&amp;L'!BH31</f>
        <v>26000</v>
      </c>
      <c r="BH32" s="48">
        <f>'E-Commerce P&amp;L'!BI31</f>
        <v>26000</v>
      </c>
      <c r="BI32" s="48">
        <f>'E-Commerce P&amp;L'!BJ31</f>
        <v>26000</v>
      </c>
      <c r="BJ32" s="48">
        <f>'E-Commerce P&amp;L'!BK31</f>
        <v>26000</v>
      </c>
      <c r="BK32" s="66">
        <f>'E-Commerce P&amp;L'!BL31</f>
        <v>26000</v>
      </c>
    </row>
    <row r="33" spans="2:63" x14ac:dyDescent="0.2">
      <c r="B33" s="2"/>
      <c r="C33" s="3" t="s">
        <v>37</v>
      </c>
      <c r="D33" s="268">
        <f>'E-Commerce P&amp;L'!E32</f>
        <v>0</v>
      </c>
      <c r="E33" s="269">
        <f>'E-Commerce P&amp;L'!F32</f>
        <v>0</v>
      </c>
      <c r="F33" s="269">
        <f>'E-Commerce P&amp;L'!G32</f>
        <v>0</v>
      </c>
      <c r="G33" s="269">
        <f>'E-Commerce P&amp;L'!H32</f>
        <v>0</v>
      </c>
      <c r="H33" s="48">
        <f>'E-Commerce P&amp;L'!I32</f>
        <v>0</v>
      </c>
      <c r="I33" s="48">
        <f>'E-Commerce P&amp;L'!J32</f>
        <v>0</v>
      </c>
      <c r="J33" s="48">
        <f>'E-Commerce P&amp;L'!K32</f>
        <v>0</v>
      </c>
      <c r="K33" s="48">
        <f>'E-Commerce P&amp;L'!L32</f>
        <v>0</v>
      </c>
      <c r="L33" s="48">
        <f>'E-Commerce P&amp;L'!M32</f>
        <v>0</v>
      </c>
      <c r="M33" s="48">
        <f>'E-Commerce P&amp;L'!N32</f>
        <v>0</v>
      </c>
      <c r="N33" s="48">
        <f>'E-Commerce P&amp;L'!O32</f>
        <v>0</v>
      </c>
      <c r="O33" s="66">
        <f>'E-Commerce P&amp;L'!P32</f>
        <v>0</v>
      </c>
      <c r="P33" s="48">
        <f>'E-Commerce P&amp;L'!Q32</f>
        <v>0</v>
      </c>
      <c r="Q33" s="48">
        <f>'E-Commerce P&amp;L'!R32</f>
        <v>0</v>
      </c>
      <c r="R33" s="48">
        <f>'E-Commerce P&amp;L'!S32</f>
        <v>0</v>
      </c>
      <c r="S33" s="48">
        <f>'E-Commerce P&amp;L'!T32</f>
        <v>0</v>
      </c>
      <c r="T33" s="48">
        <f>'E-Commerce P&amp;L'!U32</f>
        <v>0</v>
      </c>
      <c r="U33" s="48">
        <f>'E-Commerce P&amp;L'!V32</f>
        <v>0</v>
      </c>
      <c r="V33" s="48">
        <f>'E-Commerce P&amp;L'!W32</f>
        <v>0</v>
      </c>
      <c r="W33" s="48">
        <f>'E-Commerce P&amp;L'!X32</f>
        <v>0</v>
      </c>
      <c r="X33" s="48">
        <f>'E-Commerce P&amp;L'!Y32</f>
        <v>0</v>
      </c>
      <c r="Y33" s="48">
        <f>'E-Commerce P&amp;L'!Z32</f>
        <v>0</v>
      </c>
      <c r="Z33" s="48">
        <f>'E-Commerce P&amp;L'!AA32</f>
        <v>0</v>
      </c>
      <c r="AA33" s="48">
        <f>'E-Commerce P&amp;L'!AB32</f>
        <v>0</v>
      </c>
      <c r="AB33" s="79">
        <f>'E-Commerce P&amp;L'!AC32</f>
        <v>0</v>
      </c>
      <c r="AC33" s="48">
        <f>'E-Commerce P&amp;L'!AD32</f>
        <v>0</v>
      </c>
      <c r="AD33" s="48">
        <f>'E-Commerce P&amp;L'!AE32</f>
        <v>0</v>
      </c>
      <c r="AE33" s="48">
        <f>'E-Commerce P&amp;L'!AF32</f>
        <v>0</v>
      </c>
      <c r="AF33" s="48">
        <f>'E-Commerce P&amp;L'!AG32</f>
        <v>0</v>
      </c>
      <c r="AG33" s="48">
        <f>'E-Commerce P&amp;L'!AH32</f>
        <v>0</v>
      </c>
      <c r="AH33" s="48">
        <f>'E-Commerce P&amp;L'!AI32</f>
        <v>0</v>
      </c>
      <c r="AI33" s="48">
        <f>'E-Commerce P&amp;L'!AJ32</f>
        <v>0</v>
      </c>
      <c r="AJ33" s="48">
        <f>'E-Commerce P&amp;L'!AK32</f>
        <v>0</v>
      </c>
      <c r="AK33" s="48">
        <f>'E-Commerce P&amp;L'!AL32</f>
        <v>0</v>
      </c>
      <c r="AL33" s="48">
        <f>'E-Commerce P&amp;L'!AM32</f>
        <v>0</v>
      </c>
      <c r="AM33" s="66">
        <f>'E-Commerce P&amp;L'!AN32</f>
        <v>0</v>
      </c>
      <c r="AN33" s="48">
        <f>'E-Commerce P&amp;L'!AO32</f>
        <v>0</v>
      </c>
      <c r="AO33" s="48">
        <f>'E-Commerce P&amp;L'!AP32</f>
        <v>0</v>
      </c>
      <c r="AP33" s="48">
        <f>'E-Commerce P&amp;L'!AQ32</f>
        <v>0</v>
      </c>
      <c r="AQ33" s="48">
        <f>'E-Commerce P&amp;L'!AR32</f>
        <v>0</v>
      </c>
      <c r="AR33" s="48">
        <f>'E-Commerce P&amp;L'!AS32</f>
        <v>0</v>
      </c>
      <c r="AS33" s="48">
        <f>'E-Commerce P&amp;L'!AT32</f>
        <v>0</v>
      </c>
      <c r="AT33" s="48">
        <f>'E-Commerce P&amp;L'!AU32</f>
        <v>0</v>
      </c>
      <c r="AU33" s="48">
        <f>'E-Commerce P&amp;L'!AV32</f>
        <v>0</v>
      </c>
      <c r="AV33" s="48">
        <f>'E-Commerce P&amp;L'!AW32</f>
        <v>0</v>
      </c>
      <c r="AW33" s="48">
        <f>'E-Commerce P&amp;L'!AX32</f>
        <v>0</v>
      </c>
      <c r="AX33" s="48">
        <f>'E-Commerce P&amp;L'!AY32</f>
        <v>0</v>
      </c>
      <c r="AY33" s="48">
        <f>'E-Commerce P&amp;L'!AZ32</f>
        <v>0</v>
      </c>
      <c r="AZ33" s="79">
        <f>'E-Commerce P&amp;L'!BA32</f>
        <v>0</v>
      </c>
      <c r="BA33" s="48">
        <f>'E-Commerce P&amp;L'!BB32</f>
        <v>0</v>
      </c>
      <c r="BB33" s="48">
        <f>'E-Commerce P&amp;L'!BC32</f>
        <v>0</v>
      </c>
      <c r="BC33" s="48">
        <f>'E-Commerce P&amp;L'!BD32</f>
        <v>0</v>
      </c>
      <c r="BD33" s="48">
        <f>'E-Commerce P&amp;L'!BE32</f>
        <v>0</v>
      </c>
      <c r="BE33" s="48">
        <f>'E-Commerce P&amp;L'!BF32</f>
        <v>0</v>
      </c>
      <c r="BF33" s="48">
        <f>'E-Commerce P&amp;L'!BG32</f>
        <v>0</v>
      </c>
      <c r="BG33" s="48">
        <f>'E-Commerce P&amp;L'!BH32</f>
        <v>0</v>
      </c>
      <c r="BH33" s="48">
        <f>'E-Commerce P&amp;L'!BI32</f>
        <v>0</v>
      </c>
      <c r="BI33" s="48">
        <f>'E-Commerce P&amp;L'!BJ32</f>
        <v>0</v>
      </c>
      <c r="BJ33" s="48">
        <f>'E-Commerce P&amp;L'!BK32</f>
        <v>0</v>
      </c>
      <c r="BK33" s="66">
        <f>'E-Commerce P&amp;L'!BL32</f>
        <v>0</v>
      </c>
    </row>
    <row r="34" spans="2:63" x14ac:dyDescent="0.2">
      <c r="B34" s="2"/>
      <c r="C34" s="3" t="s">
        <v>53</v>
      </c>
      <c r="D34" s="268">
        <f>'E-Commerce P&amp;L'!E33</f>
        <v>26000</v>
      </c>
      <c r="E34" s="269">
        <f>'E-Commerce P&amp;L'!F33</f>
        <v>26000</v>
      </c>
      <c r="F34" s="269">
        <f>'E-Commerce P&amp;L'!G33</f>
        <v>26000</v>
      </c>
      <c r="G34" s="269">
        <f>'E-Commerce P&amp;L'!H33</f>
        <v>26000</v>
      </c>
      <c r="H34" s="48">
        <f>'E-Commerce P&amp;L'!I33</f>
        <v>26000</v>
      </c>
      <c r="I34" s="48">
        <f>'E-Commerce P&amp;L'!J33</f>
        <v>26000</v>
      </c>
      <c r="J34" s="48">
        <f>'E-Commerce P&amp;L'!K33</f>
        <v>37000</v>
      </c>
      <c r="K34" s="48">
        <f>'E-Commerce P&amp;L'!L33</f>
        <v>37000</v>
      </c>
      <c r="L34" s="48">
        <f>'E-Commerce P&amp;L'!M33</f>
        <v>37000</v>
      </c>
      <c r="M34" s="48">
        <f>'E-Commerce P&amp;L'!N33</f>
        <v>37000</v>
      </c>
      <c r="N34" s="48">
        <f>'E-Commerce P&amp;L'!O33</f>
        <v>37000</v>
      </c>
      <c r="O34" s="66">
        <f>'E-Commerce P&amp;L'!P33</f>
        <v>37000</v>
      </c>
      <c r="P34" s="48">
        <f>'E-Commerce P&amp;L'!Q33</f>
        <v>37000</v>
      </c>
      <c r="Q34" s="48">
        <f>'E-Commerce P&amp;L'!R33</f>
        <v>37000</v>
      </c>
      <c r="R34" s="48">
        <f>'E-Commerce P&amp;L'!S33</f>
        <v>37000</v>
      </c>
      <c r="S34" s="48">
        <f>'E-Commerce P&amp;L'!T33</f>
        <v>37000</v>
      </c>
      <c r="T34" s="48">
        <f>'E-Commerce P&amp;L'!U33</f>
        <v>37000</v>
      </c>
      <c r="U34" s="48">
        <f>'E-Commerce P&amp;L'!V33</f>
        <v>37000</v>
      </c>
      <c r="V34" s="48">
        <f>'E-Commerce P&amp;L'!W33</f>
        <v>58999.999999999993</v>
      </c>
      <c r="W34" s="48">
        <f>'E-Commerce P&amp;L'!X33</f>
        <v>58999.999999999993</v>
      </c>
      <c r="X34" s="48">
        <f>'E-Commerce P&amp;L'!Y33</f>
        <v>58999.999999999993</v>
      </c>
      <c r="Y34" s="48">
        <f>'E-Commerce P&amp;L'!Z33</f>
        <v>58999.999999999993</v>
      </c>
      <c r="Z34" s="48">
        <f>'E-Commerce P&amp;L'!AA33</f>
        <v>58999.999999999993</v>
      </c>
      <c r="AA34" s="48">
        <f>'E-Commerce P&amp;L'!AB33</f>
        <v>58999.999999999993</v>
      </c>
      <c r="AB34" s="79">
        <f>'E-Commerce P&amp;L'!AC33</f>
        <v>58999.999999999993</v>
      </c>
      <c r="AC34" s="48">
        <f>'E-Commerce P&amp;L'!AD33</f>
        <v>58999.999999999993</v>
      </c>
      <c r="AD34" s="48">
        <f>'E-Commerce P&amp;L'!AE33</f>
        <v>58999.999999999993</v>
      </c>
      <c r="AE34" s="48">
        <f>'E-Commerce P&amp;L'!AF33</f>
        <v>58999.999999999993</v>
      </c>
      <c r="AF34" s="48">
        <f>'E-Commerce P&amp;L'!AG33</f>
        <v>58999.999999999993</v>
      </c>
      <c r="AG34" s="48">
        <f>'E-Commerce P&amp;L'!AH33</f>
        <v>58999.999999999993</v>
      </c>
      <c r="AH34" s="48">
        <f>'E-Commerce P&amp;L'!AI33</f>
        <v>58999.999999999993</v>
      </c>
      <c r="AI34" s="48">
        <f>'E-Commerce P&amp;L'!AJ33</f>
        <v>58999.999999999993</v>
      </c>
      <c r="AJ34" s="48">
        <f>'E-Commerce P&amp;L'!AK33</f>
        <v>58999.999999999993</v>
      </c>
      <c r="AK34" s="48">
        <f>'E-Commerce P&amp;L'!AL33</f>
        <v>58999.999999999993</v>
      </c>
      <c r="AL34" s="48">
        <f>'E-Commerce P&amp;L'!AM33</f>
        <v>58999.999999999993</v>
      </c>
      <c r="AM34" s="66">
        <f>'E-Commerce P&amp;L'!AN33</f>
        <v>58999.999999999993</v>
      </c>
      <c r="AN34" s="48">
        <f>'E-Commerce P&amp;L'!AO33</f>
        <v>58999.999999999993</v>
      </c>
      <c r="AO34" s="48">
        <f>'E-Commerce P&amp;L'!AP33</f>
        <v>58999.999999999993</v>
      </c>
      <c r="AP34" s="48">
        <f>'E-Commerce P&amp;L'!AQ33</f>
        <v>58999.999999999993</v>
      </c>
      <c r="AQ34" s="48">
        <f>'E-Commerce P&amp;L'!AR33</f>
        <v>58999.999999999993</v>
      </c>
      <c r="AR34" s="48">
        <f>'E-Commerce P&amp;L'!AS33</f>
        <v>58999.999999999993</v>
      </c>
      <c r="AS34" s="48">
        <f>'E-Commerce P&amp;L'!AT33</f>
        <v>58999.999999999993</v>
      </c>
      <c r="AT34" s="48">
        <f>'E-Commerce P&amp;L'!AU33</f>
        <v>58999.999999999993</v>
      </c>
      <c r="AU34" s="48">
        <f>'E-Commerce P&amp;L'!AV33</f>
        <v>58999.999999999993</v>
      </c>
      <c r="AV34" s="48">
        <f>'E-Commerce P&amp;L'!AW33</f>
        <v>58999.999999999993</v>
      </c>
      <c r="AW34" s="48">
        <f>'E-Commerce P&amp;L'!AX33</f>
        <v>58999.999999999993</v>
      </c>
      <c r="AX34" s="48">
        <f>'E-Commerce P&amp;L'!AY33</f>
        <v>58999.999999999993</v>
      </c>
      <c r="AY34" s="48">
        <f>'E-Commerce P&amp;L'!AZ33</f>
        <v>58999.999999999993</v>
      </c>
      <c r="AZ34" s="79">
        <f>'E-Commerce P&amp;L'!BA33</f>
        <v>58999.999999999993</v>
      </c>
      <c r="BA34" s="48">
        <f>'E-Commerce P&amp;L'!BB33</f>
        <v>58999.999999999993</v>
      </c>
      <c r="BB34" s="48">
        <f>'E-Commerce P&amp;L'!BC33</f>
        <v>58999.999999999993</v>
      </c>
      <c r="BC34" s="48">
        <f>'E-Commerce P&amp;L'!BD33</f>
        <v>58999.999999999993</v>
      </c>
      <c r="BD34" s="48">
        <f>'E-Commerce P&amp;L'!BE33</f>
        <v>58999.999999999993</v>
      </c>
      <c r="BE34" s="48">
        <f>'E-Commerce P&amp;L'!BF33</f>
        <v>58999.999999999993</v>
      </c>
      <c r="BF34" s="48">
        <f>'E-Commerce P&amp;L'!BG33</f>
        <v>58999.999999999993</v>
      </c>
      <c r="BG34" s="48">
        <f>'E-Commerce P&amp;L'!BH33</f>
        <v>58999.999999999993</v>
      </c>
      <c r="BH34" s="48">
        <f>'E-Commerce P&amp;L'!BI33</f>
        <v>58999.999999999993</v>
      </c>
      <c r="BI34" s="48">
        <f>'E-Commerce P&amp;L'!BJ33</f>
        <v>58999.999999999993</v>
      </c>
      <c r="BJ34" s="48">
        <f>'E-Commerce P&amp;L'!BK33</f>
        <v>58999.999999999993</v>
      </c>
      <c r="BK34" s="66">
        <f>'E-Commerce P&amp;L'!BL33</f>
        <v>58999.999999999993</v>
      </c>
    </row>
    <row r="35" spans="2:63" x14ac:dyDescent="0.2">
      <c r="B35" s="2"/>
      <c r="C35" s="3" t="s">
        <v>38</v>
      </c>
      <c r="D35" s="268">
        <f>'E-Commerce P&amp;L'!E34</f>
        <v>245</v>
      </c>
      <c r="E35" s="269">
        <f>'E-Commerce P&amp;L'!F34</f>
        <v>564</v>
      </c>
      <c r="F35" s="269">
        <f>'E-Commerce P&amp;L'!G34</f>
        <v>435</v>
      </c>
      <c r="G35" s="269">
        <f>'E-Commerce P&amp;L'!H34</f>
        <v>512</v>
      </c>
      <c r="H35" s="48">
        <f>'E-Commerce P&amp;L'!I34</f>
        <v>360</v>
      </c>
      <c r="I35" s="48">
        <f>'E-Commerce P&amp;L'!J34</f>
        <v>360</v>
      </c>
      <c r="J35" s="48">
        <f>'E-Commerce P&amp;L'!K34</f>
        <v>470</v>
      </c>
      <c r="K35" s="48">
        <f>'E-Commerce P&amp;L'!L34</f>
        <v>470</v>
      </c>
      <c r="L35" s="48">
        <f>'E-Commerce P&amp;L'!M34</f>
        <v>470</v>
      </c>
      <c r="M35" s="48">
        <f>'E-Commerce P&amp;L'!N34</f>
        <v>470</v>
      </c>
      <c r="N35" s="48">
        <f>'E-Commerce P&amp;L'!O34</f>
        <v>480</v>
      </c>
      <c r="O35" s="66">
        <f>'E-Commerce P&amp;L'!P34</f>
        <v>480</v>
      </c>
      <c r="P35" s="48">
        <f>'E-Commerce P&amp;L'!Q34</f>
        <v>580</v>
      </c>
      <c r="Q35" s="48">
        <f>'E-Commerce P&amp;L'!R34</f>
        <v>580</v>
      </c>
      <c r="R35" s="48">
        <f>'E-Commerce P&amp;L'!S34</f>
        <v>590</v>
      </c>
      <c r="S35" s="48">
        <f>'E-Commerce P&amp;L'!T34</f>
        <v>590</v>
      </c>
      <c r="T35" s="48">
        <f>'E-Commerce P&amp;L'!U34</f>
        <v>590</v>
      </c>
      <c r="U35" s="48">
        <f>'E-Commerce P&amp;L'!V34</f>
        <v>590</v>
      </c>
      <c r="V35" s="48">
        <f>'E-Commerce P&amp;L'!W34</f>
        <v>800</v>
      </c>
      <c r="W35" s="48">
        <f>'E-Commerce P&amp;L'!X34</f>
        <v>800</v>
      </c>
      <c r="X35" s="48">
        <f>'E-Commerce P&amp;L'!Y34</f>
        <v>800</v>
      </c>
      <c r="Y35" s="48">
        <f>'E-Commerce P&amp;L'!Z34</f>
        <v>800</v>
      </c>
      <c r="Z35" s="48">
        <f>'E-Commerce P&amp;L'!AA34</f>
        <v>810</v>
      </c>
      <c r="AA35" s="48">
        <f>'E-Commerce P&amp;L'!AB34</f>
        <v>810</v>
      </c>
      <c r="AB35" s="79">
        <f>'E-Commerce P&amp;L'!AC34</f>
        <v>810</v>
      </c>
      <c r="AC35" s="48">
        <f>'E-Commerce P&amp;L'!AD34</f>
        <v>810</v>
      </c>
      <c r="AD35" s="48">
        <f>'E-Commerce P&amp;L'!AE34</f>
        <v>810</v>
      </c>
      <c r="AE35" s="48">
        <f>'E-Commerce P&amp;L'!AF34</f>
        <v>819.99999999999989</v>
      </c>
      <c r="AF35" s="48">
        <f>'E-Commerce P&amp;L'!AG34</f>
        <v>819.99999999999989</v>
      </c>
      <c r="AG35" s="48">
        <f>'E-Commerce P&amp;L'!AH34</f>
        <v>819.99999999999989</v>
      </c>
      <c r="AH35" s="48">
        <f>'E-Commerce P&amp;L'!AI34</f>
        <v>819.99999999999989</v>
      </c>
      <c r="AI35" s="48">
        <f>'E-Commerce P&amp;L'!AJ34</f>
        <v>819.99999999999989</v>
      </c>
      <c r="AJ35" s="48">
        <f>'E-Commerce P&amp;L'!AK34</f>
        <v>819.99999999999989</v>
      </c>
      <c r="AK35" s="48">
        <f>'E-Commerce P&amp;L'!AL34</f>
        <v>830.00000000000011</v>
      </c>
      <c r="AL35" s="48">
        <f>'E-Commerce P&amp;L'!AM34</f>
        <v>830.00000000000011</v>
      </c>
      <c r="AM35" s="66">
        <f>'E-Commerce P&amp;L'!AN34</f>
        <v>830.00000000000011</v>
      </c>
      <c r="AN35" s="48">
        <f>'E-Commerce P&amp;L'!AO34</f>
        <v>830.00000000000011</v>
      </c>
      <c r="AO35" s="48">
        <f>'E-Commerce P&amp;L'!AP34</f>
        <v>830.00000000000011</v>
      </c>
      <c r="AP35" s="48">
        <f>'E-Commerce P&amp;L'!AQ34</f>
        <v>830.00000000000011</v>
      </c>
      <c r="AQ35" s="48">
        <f>'E-Commerce P&amp;L'!AR34</f>
        <v>840</v>
      </c>
      <c r="AR35" s="48">
        <f>'E-Commerce P&amp;L'!AS34</f>
        <v>840</v>
      </c>
      <c r="AS35" s="48">
        <f>'E-Commerce P&amp;L'!AT34</f>
        <v>840</v>
      </c>
      <c r="AT35" s="48">
        <f>'E-Commerce P&amp;L'!AU34</f>
        <v>840</v>
      </c>
      <c r="AU35" s="48">
        <f>'E-Commerce P&amp;L'!AV34</f>
        <v>840</v>
      </c>
      <c r="AV35" s="48">
        <f>'E-Commerce P&amp;L'!AW34</f>
        <v>840</v>
      </c>
      <c r="AW35" s="48">
        <f>'E-Commerce P&amp;L'!AX34</f>
        <v>840</v>
      </c>
      <c r="AX35" s="48">
        <f>'E-Commerce P&amp;L'!AY34</f>
        <v>850</v>
      </c>
      <c r="AY35" s="48">
        <f>'E-Commerce P&amp;L'!AZ34</f>
        <v>850</v>
      </c>
      <c r="AZ35" s="79">
        <f>'E-Commerce P&amp;L'!BA34</f>
        <v>850</v>
      </c>
      <c r="BA35" s="48">
        <f>'E-Commerce P&amp;L'!BB34</f>
        <v>850</v>
      </c>
      <c r="BB35" s="48">
        <f>'E-Commerce P&amp;L'!BC34</f>
        <v>850</v>
      </c>
      <c r="BC35" s="48">
        <f>'E-Commerce P&amp;L'!BD34</f>
        <v>850</v>
      </c>
      <c r="BD35" s="48">
        <f>'E-Commerce P&amp;L'!BE34</f>
        <v>860</v>
      </c>
      <c r="BE35" s="48">
        <f>'E-Commerce P&amp;L'!BF34</f>
        <v>860</v>
      </c>
      <c r="BF35" s="48">
        <f>'E-Commerce P&amp;L'!BG34</f>
        <v>860</v>
      </c>
      <c r="BG35" s="48">
        <f>'E-Commerce P&amp;L'!BH34</f>
        <v>860</v>
      </c>
      <c r="BH35" s="48">
        <f>'E-Commerce P&amp;L'!BI34</f>
        <v>860</v>
      </c>
      <c r="BI35" s="48">
        <f>'E-Commerce P&amp;L'!BJ34</f>
        <v>860</v>
      </c>
      <c r="BJ35" s="48">
        <f>'E-Commerce P&amp;L'!BK34</f>
        <v>869.99999999999989</v>
      </c>
      <c r="BK35" s="66">
        <f>'E-Commerce P&amp;L'!BL34</f>
        <v>869.99999999999989</v>
      </c>
    </row>
    <row r="36" spans="2:63" x14ac:dyDescent="0.2">
      <c r="B36" s="2"/>
      <c r="C36" s="3" t="s">
        <v>39</v>
      </c>
      <c r="D36" s="268">
        <f>'E-Commerce P&amp;L'!E35</f>
        <v>2387</v>
      </c>
      <c r="E36" s="269">
        <f>'E-Commerce P&amp;L'!F35</f>
        <v>1325</v>
      </c>
      <c r="F36" s="269">
        <f>'E-Commerce P&amp;L'!G35</f>
        <v>453</v>
      </c>
      <c r="G36" s="269">
        <f>'E-Commerce P&amp;L'!H35</f>
        <v>872</v>
      </c>
      <c r="H36" s="48">
        <f>'E-Commerce P&amp;L'!I35</f>
        <v>1000</v>
      </c>
      <c r="I36" s="48">
        <f>'E-Commerce P&amp;L'!J35</f>
        <v>1000</v>
      </c>
      <c r="J36" s="48">
        <f>'E-Commerce P&amp;L'!K35</f>
        <v>1000</v>
      </c>
      <c r="K36" s="48">
        <f>'E-Commerce P&amp;L'!L35</f>
        <v>1000</v>
      </c>
      <c r="L36" s="48">
        <f>'E-Commerce P&amp;L'!M35</f>
        <v>1000</v>
      </c>
      <c r="M36" s="48">
        <f>'E-Commerce P&amp;L'!N35</f>
        <v>1000</v>
      </c>
      <c r="N36" s="48">
        <f>'E-Commerce P&amp;L'!O35</f>
        <v>1000</v>
      </c>
      <c r="O36" s="66">
        <f>'E-Commerce P&amp;L'!P35</f>
        <v>1000</v>
      </c>
      <c r="P36" s="48">
        <f>'E-Commerce P&amp;L'!Q35</f>
        <v>1000</v>
      </c>
      <c r="Q36" s="48">
        <f>'E-Commerce P&amp;L'!R35</f>
        <v>1000</v>
      </c>
      <c r="R36" s="48">
        <f>'E-Commerce P&amp;L'!S35</f>
        <v>1000</v>
      </c>
      <c r="S36" s="48">
        <f>'E-Commerce P&amp;L'!T35</f>
        <v>1000</v>
      </c>
      <c r="T36" s="48">
        <f>'E-Commerce P&amp;L'!U35</f>
        <v>1000</v>
      </c>
      <c r="U36" s="48">
        <f>'E-Commerce P&amp;L'!V35</f>
        <v>1000</v>
      </c>
      <c r="V36" s="48">
        <f>'E-Commerce P&amp;L'!W35</f>
        <v>1000</v>
      </c>
      <c r="W36" s="48">
        <f>'E-Commerce P&amp;L'!X35</f>
        <v>1000</v>
      </c>
      <c r="X36" s="48">
        <f>'E-Commerce P&amp;L'!Y35</f>
        <v>1000</v>
      </c>
      <c r="Y36" s="48">
        <f>'E-Commerce P&amp;L'!Z35</f>
        <v>1000</v>
      </c>
      <c r="Z36" s="48">
        <f>'E-Commerce P&amp;L'!AA35</f>
        <v>1000</v>
      </c>
      <c r="AA36" s="48">
        <f>'E-Commerce P&amp;L'!AB35</f>
        <v>1000</v>
      </c>
      <c r="AB36" s="79">
        <f>'E-Commerce P&amp;L'!AC35</f>
        <v>1000</v>
      </c>
      <c r="AC36" s="48">
        <f>'E-Commerce P&amp;L'!AD35</f>
        <v>1000</v>
      </c>
      <c r="AD36" s="48">
        <f>'E-Commerce P&amp;L'!AE35</f>
        <v>1000</v>
      </c>
      <c r="AE36" s="48">
        <f>'E-Commerce P&amp;L'!AF35</f>
        <v>1000</v>
      </c>
      <c r="AF36" s="48">
        <f>'E-Commerce P&amp;L'!AG35</f>
        <v>1000</v>
      </c>
      <c r="AG36" s="48">
        <f>'E-Commerce P&amp;L'!AH35</f>
        <v>1000</v>
      </c>
      <c r="AH36" s="48">
        <f>'E-Commerce P&amp;L'!AI35</f>
        <v>1000</v>
      </c>
      <c r="AI36" s="48">
        <f>'E-Commerce P&amp;L'!AJ35</f>
        <v>1000</v>
      </c>
      <c r="AJ36" s="48">
        <f>'E-Commerce P&amp;L'!AK35</f>
        <v>1000</v>
      </c>
      <c r="AK36" s="48">
        <f>'E-Commerce P&amp;L'!AL35</f>
        <v>1000</v>
      </c>
      <c r="AL36" s="48">
        <f>'E-Commerce P&amp;L'!AM35</f>
        <v>1000</v>
      </c>
      <c r="AM36" s="66">
        <f>'E-Commerce P&amp;L'!AN35</f>
        <v>1000</v>
      </c>
      <c r="AN36" s="48">
        <f>'E-Commerce P&amp;L'!AO35</f>
        <v>1000</v>
      </c>
      <c r="AO36" s="48">
        <f>'E-Commerce P&amp;L'!AP35</f>
        <v>1000</v>
      </c>
      <c r="AP36" s="48">
        <f>'E-Commerce P&amp;L'!AQ35</f>
        <v>1000</v>
      </c>
      <c r="AQ36" s="48">
        <f>'E-Commerce P&amp;L'!AR35</f>
        <v>1000</v>
      </c>
      <c r="AR36" s="48">
        <f>'E-Commerce P&amp;L'!AS35</f>
        <v>1000</v>
      </c>
      <c r="AS36" s="48">
        <f>'E-Commerce P&amp;L'!AT35</f>
        <v>1000</v>
      </c>
      <c r="AT36" s="48">
        <f>'E-Commerce P&amp;L'!AU35</f>
        <v>1000</v>
      </c>
      <c r="AU36" s="48">
        <f>'E-Commerce P&amp;L'!AV35</f>
        <v>1000</v>
      </c>
      <c r="AV36" s="48">
        <f>'E-Commerce P&amp;L'!AW35</f>
        <v>1000</v>
      </c>
      <c r="AW36" s="48">
        <f>'E-Commerce P&amp;L'!AX35</f>
        <v>1000</v>
      </c>
      <c r="AX36" s="48">
        <f>'E-Commerce P&amp;L'!AY35</f>
        <v>1000</v>
      </c>
      <c r="AY36" s="48">
        <f>'E-Commerce P&amp;L'!AZ35</f>
        <v>1000</v>
      </c>
      <c r="AZ36" s="79">
        <f>'E-Commerce P&amp;L'!BA35</f>
        <v>1000</v>
      </c>
      <c r="BA36" s="48">
        <f>'E-Commerce P&amp;L'!BB35</f>
        <v>1000</v>
      </c>
      <c r="BB36" s="48">
        <f>'E-Commerce P&amp;L'!BC35</f>
        <v>1000</v>
      </c>
      <c r="BC36" s="48">
        <f>'E-Commerce P&amp;L'!BD35</f>
        <v>1000</v>
      </c>
      <c r="BD36" s="48">
        <f>'E-Commerce P&amp;L'!BE35</f>
        <v>1000</v>
      </c>
      <c r="BE36" s="48">
        <f>'E-Commerce P&amp;L'!BF35</f>
        <v>1000</v>
      </c>
      <c r="BF36" s="48">
        <f>'E-Commerce P&amp;L'!BG35</f>
        <v>1000</v>
      </c>
      <c r="BG36" s="48">
        <f>'E-Commerce P&amp;L'!BH35</f>
        <v>1000</v>
      </c>
      <c r="BH36" s="48">
        <f>'E-Commerce P&amp;L'!BI35</f>
        <v>1000</v>
      </c>
      <c r="BI36" s="48">
        <f>'E-Commerce P&amp;L'!BJ35</f>
        <v>1000</v>
      </c>
      <c r="BJ36" s="48">
        <f>'E-Commerce P&amp;L'!BK35</f>
        <v>1000</v>
      </c>
      <c r="BK36" s="66">
        <f>'E-Commerce P&amp;L'!BL35</f>
        <v>1000</v>
      </c>
    </row>
    <row r="37" spans="2:63" x14ac:dyDescent="0.2">
      <c r="B37" s="2"/>
      <c r="C37" s="3" t="s">
        <v>40</v>
      </c>
      <c r="D37" s="268">
        <f>'E-Commerce P&amp;L'!E36</f>
        <v>0</v>
      </c>
      <c r="E37" s="269">
        <f>'E-Commerce P&amp;L'!F36</f>
        <v>2534</v>
      </c>
      <c r="F37" s="269">
        <f>'E-Commerce P&amp;L'!G36</f>
        <v>1432</v>
      </c>
      <c r="G37" s="269">
        <f>'E-Commerce P&amp;L'!H36</f>
        <v>548</v>
      </c>
      <c r="H37" s="48">
        <f>'E-Commerce P&amp;L'!I36</f>
        <v>1000</v>
      </c>
      <c r="I37" s="48">
        <f>'E-Commerce P&amp;L'!J36</f>
        <v>1000</v>
      </c>
      <c r="J37" s="48">
        <f>'E-Commerce P&amp;L'!K36</f>
        <v>1000</v>
      </c>
      <c r="K37" s="48">
        <f>'E-Commerce P&amp;L'!L36</f>
        <v>1000</v>
      </c>
      <c r="L37" s="48">
        <f>'E-Commerce P&amp;L'!M36</f>
        <v>1000</v>
      </c>
      <c r="M37" s="48">
        <f>'E-Commerce P&amp;L'!N36</f>
        <v>1000</v>
      </c>
      <c r="N37" s="48">
        <f>'E-Commerce P&amp;L'!O36</f>
        <v>1000</v>
      </c>
      <c r="O37" s="66">
        <f>'E-Commerce P&amp;L'!P36</f>
        <v>1000</v>
      </c>
      <c r="P37" s="48">
        <f>'E-Commerce P&amp;L'!Q36</f>
        <v>1500</v>
      </c>
      <c r="Q37" s="48">
        <f>'E-Commerce P&amp;L'!R36</f>
        <v>1500</v>
      </c>
      <c r="R37" s="48">
        <f>'E-Commerce P&amp;L'!S36</f>
        <v>1500</v>
      </c>
      <c r="S37" s="48">
        <f>'E-Commerce P&amp;L'!T36</f>
        <v>1500</v>
      </c>
      <c r="T37" s="48">
        <f>'E-Commerce P&amp;L'!U36</f>
        <v>1500</v>
      </c>
      <c r="U37" s="48">
        <f>'E-Commerce P&amp;L'!V36</f>
        <v>1500</v>
      </c>
      <c r="V37" s="48">
        <f>'E-Commerce P&amp;L'!W36</f>
        <v>1500</v>
      </c>
      <c r="W37" s="48">
        <f>'E-Commerce P&amp;L'!X36</f>
        <v>1500</v>
      </c>
      <c r="X37" s="48">
        <f>'E-Commerce P&amp;L'!Y36</f>
        <v>1500</v>
      </c>
      <c r="Y37" s="48">
        <f>'E-Commerce P&amp;L'!Z36</f>
        <v>1500</v>
      </c>
      <c r="Z37" s="48">
        <f>'E-Commerce P&amp;L'!AA36</f>
        <v>1500</v>
      </c>
      <c r="AA37" s="48">
        <f>'E-Commerce P&amp;L'!AB36</f>
        <v>1500</v>
      </c>
      <c r="AB37" s="79">
        <f>'E-Commerce P&amp;L'!AC36</f>
        <v>1500</v>
      </c>
      <c r="AC37" s="48">
        <f>'E-Commerce P&amp;L'!AD36</f>
        <v>1500</v>
      </c>
      <c r="AD37" s="48">
        <f>'E-Commerce P&amp;L'!AE36</f>
        <v>1500</v>
      </c>
      <c r="AE37" s="48">
        <f>'E-Commerce P&amp;L'!AF36</f>
        <v>1500</v>
      </c>
      <c r="AF37" s="48">
        <f>'E-Commerce P&amp;L'!AG36</f>
        <v>1500</v>
      </c>
      <c r="AG37" s="48">
        <f>'E-Commerce P&amp;L'!AH36</f>
        <v>1500</v>
      </c>
      <c r="AH37" s="48">
        <f>'E-Commerce P&amp;L'!AI36</f>
        <v>1500</v>
      </c>
      <c r="AI37" s="48">
        <f>'E-Commerce P&amp;L'!AJ36</f>
        <v>1500</v>
      </c>
      <c r="AJ37" s="48">
        <f>'E-Commerce P&amp;L'!AK36</f>
        <v>1500</v>
      </c>
      <c r="AK37" s="48">
        <f>'E-Commerce P&amp;L'!AL36</f>
        <v>1500</v>
      </c>
      <c r="AL37" s="48">
        <f>'E-Commerce P&amp;L'!AM36</f>
        <v>1500</v>
      </c>
      <c r="AM37" s="66">
        <f>'E-Commerce P&amp;L'!AN36</f>
        <v>1500</v>
      </c>
      <c r="AN37" s="48">
        <f>'E-Commerce P&amp;L'!AO36</f>
        <v>1500</v>
      </c>
      <c r="AO37" s="48">
        <f>'E-Commerce P&amp;L'!AP36</f>
        <v>1500</v>
      </c>
      <c r="AP37" s="48">
        <f>'E-Commerce P&amp;L'!AQ36</f>
        <v>1500</v>
      </c>
      <c r="AQ37" s="48">
        <f>'E-Commerce P&amp;L'!AR36</f>
        <v>1500</v>
      </c>
      <c r="AR37" s="48">
        <f>'E-Commerce P&amp;L'!AS36</f>
        <v>1500</v>
      </c>
      <c r="AS37" s="48">
        <f>'E-Commerce P&amp;L'!AT36</f>
        <v>1500</v>
      </c>
      <c r="AT37" s="48">
        <f>'E-Commerce P&amp;L'!AU36</f>
        <v>1500</v>
      </c>
      <c r="AU37" s="48">
        <f>'E-Commerce P&amp;L'!AV36</f>
        <v>1500</v>
      </c>
      <c r="AV37" s="48">
        <f>'E-Commerce P&amp;L'!AW36</f>
        <v>1500</v>
      </c>
      <c r="AW37" s="48">
        <f>'E-Commerce P&amp;L'!AX36</f>
        <v>1500</v>
      </c>
      <c r="AX37" s="48">
        <f>'E-Commerce P&amp;L'!AY36</f>
        <v>1500</v>
      </c>
      <c r="AY37" s="48">
        <f>'E-Commerce P&amp;L'!AZ36</f>
        <v>1500</v>
      </c>
      <c r="AZ37" s="79">
        <f>'E-Commerce P&amp;L'!BA36</f>
        <v>1500</v>
      </c>
      <c r="BA37" s="48">
        <f>'E-Commerce P&amp;L'!BB36</f>
        <v>1500</v>
      </c>
      <c r="BB37" s="48">
        <f>'E-Commerce P&amp;L'!BC36</f>
        <v>1500</v>
      </c>
      <c r="BC37" s="48">
        <f>'E-Commerce P&amp;L'!BD36</f>
        <v>1500</v>
      </c>
      <c r="BD37" s="48">
        <f>'E-Commerce P&amp;L'!BE36</f>
        <v>1500</v>
      </c>
      <c r="BE37" s="48">
        <f>'E-Commerce P&amp;L'!BF36</f>
        <v>1500</v>
      </c>
      <c r="BF37" s="48">
        <f>'E-Commerce P&amp;L'!BG36</f>
        <v>1500</v>
      </c>
      <c r="BG37" s="48">
        <f>'E-Commerce P&amp;L'!BH36</f>
        <v>1500</v>
      </c>
      <c r="BH37" s="48">
        <f>'E-Commerce P&amp;L'!BI36</f>
        <v>1500</v>
      </c>
      <c r="BI37" s="48">
        <f>'E-Commerce P&amp;L'!BJ36</f>
        <v>1500</v>
      </c>
      <c r="BJ37" s="48">
        <f>'E-Commerce P&amp;L'!BK36</f>
        <v>1500</v>
      </c>
      <c r="BK37" s="66">
        <f>'E-Commerce P&amp;L'!BL36</f>
        <v>1500</v>
      </c>
    </row>
    <row r="38" spans="2:63" x14ac:dyDescent="0.2">
      <c r="B38" s="2"/>
      <c r="C38" s="3" t="s">
        <v>41</v>
      </c>
      <c r="D38" s="268">
        <f>'E-Commerce P&amp;L'!E37</f>
        <v>0</v>
      </c>
      <c r="E38" s="269">
        <f>'E-Commerce P&amp;L'!F37</f>
        <v>0</v>
      </c>
      <c r="F38" s="269">
        <f>'E-Commerce P&amp;L'!G37</f>
        <v>0</v>
      </c>
      <c r="G38" s="269">
        <f>'E-Commerce P&amp;L'!H37</f>
        <v>0</v>
      </c>
      <c r="H38" s="48">
        <f>'E-Commerce P&amp;L'!I37</f>
        <v>0</v>
      </c>
      <c r="I38" s="48">
        <f>'E-Commerce P&amp;L'!J37</f>
        <v>0</v>
      </c>
      <c r="J38" s="48">
        <f>'E-Commerce P&amp;L'!K37</f>
        <v>0</v>
      </c>
      <c r="K38" s="48">
        <f>'E-Commerce P&amp;L'!L37</f>
        <v>0</v>
      </c>
      <c r="L38" s="48">
        <f>'E-Commerce P&amp;L'!M37</f>
        <v>0</v>
      </c>
      <c r="M38" s="48">
        <f>'E-Commerce P&amp;L'!N37</f>
        <v>0</v>
      </c>
      <c r="N38" s="48">
        <f>'E-Commerce P&amp;L'!O37</f>
        <v>0</v>
      </c>
      <c r="O38" s="66">
        <f>'E-Commerce P&amp;L'!P37</f>
        <v>0</v>
      </c>
      <c r="P38" s="48">
        <f>'E-Commerce P&amp;L'!Q37</f>
        <v>0</v>
      </c>
      <c r="Q38" s="48">
        <f>'E-Commerce P&amp;L'!R37</f>
        <v>0</v>
      </c>
      <c r="R38" s="48">
        <f>'E-Commerce P&amp;L'!S37</f>
        <v>0</v>
      </c>
      <c r="S38" s="48">
        <f>'E-Commerce P&amp;L'!T37</f>
        <v>0</v>
      </c>
      <c r="T38" s="48">
        <f>'E-Commerce P&amp;L'!U37</f>
        <v>0</v>
      </c>
      <c r="U38" s="48">
        <f>'E-Commerce P&amp;L'!V37</f>
        <v>0</v>
      </c>
      <c r="V38" s="48">
        <f>'E-Commerce P&amp;L'!W37</f>
        <v>0</v>
      </c>
      <c r="W38" s="48">
        <f>'E-Commerce P&amp;L'!X37</f>
        <v>0</v>
      </c>
      <c r="X38" s="48">
        <f>'E-Commerce P&amp;L'!Y37</f>
        <v>0</v>
      </c>
      <c r="Y38" s="48">
        <f>'E-Commerce P&amp;L'!Z37</f>
        <v>0</v>
      </c>
      <c r="Z38" s="48">
        <f>'E-Commerce P&amp;L'!AA37</f>
        <v>0</v>
      </c>
      <c r="AA38" s="48">
        <f>'E-Commerce P&amp;L'!AB37</f>
        <v>0</v>
      </c>
      <c r="AB38" s="79">
        <f>'E-Commerce P&amp;L'!AC37</f>
        <v>0</v>
      </c>
      <c r="AC38" s="48">
        <f>'E-Commerce P&amp;L'!AD37</f>
        <v>0</v>
      </c>
      <c r="AD38" s="48">
        <f>'E-Commerce P&amp;L'!AE37</f>
        <v>0</v>
      </c>
      <c r="AE38" s="48">
        <f>'E-Commerce P&amp;L'!AF37</f>
        <v>0</v>
      </c>
      <c r="AF38" s="48">
        <f>'E-Commerce P&amp;L'!AG37</f>
        <v>0</v>
      </c>
      <c r="AG38" s="48">
        <f>'E-Commerce P&amp;L'!AH37</f>
        <v>0</v>
      </c>
      <c r="AH38" s="48">
        <f>'E-Commerce P&amp;L'!AI37</f>
        <v>0</v>
      </c>
      <c r="AI38" s="48">
        <f>'E-Commerce P&amp;L'!AJ37</f>
        <v>0</v>
      </c>
      <c r="AJ38" s="48">
        <f>'E-Commerce P&amp;L'!AK37</f>
        <v>0</v>
      </c>
      <c r="AK38" s="48">
        <f>'E-Commerce P&amp;L'!AL37</f>
        <v>0</v>
      </c>
      <c r="AL38" s="48">
        <f>'E-Commerce P&amp;L'!AM37</f>
        <v>0</v>
      </c>
      <c r="AM38" s="66">
        <f>'E-Commerce P&amp;L'!AN37</f>
        <v>0</v>
      </c>
      <c r="AN38" s="48">
        <f>'E-Commerce P&amp;L'!AO37</f>
        <v>0</v>
      </c>
      <c r="AO38" s="48">
        <f>'E-Commerce P&amp;L'!AP37</f>
        <v>0</v>
      </c>
      <c r="AP38" s="48">
        <f>'E-Commerce P&amp;L'!AQ37</f>
        <v>0</v>
      </c>
      <c r="AQ38" s="48">
        <f>'E-Commerce P&amp;L'!AR37</f>
        <v>0</v>
      </c>
      <c r="AR38" s="48">
        <f>'E-Commerce P&amp;L'!AS37</f>
        <v>0</v>
      </c>
      <c r="AS38" s="48">
        <f>'E-Commerce P&amp;L'!AT37</f>
        <v>0</v>
      </c>
      <c r="AT38" s="48">
        <f>'E-Commerce P&amp;L'!AU37</f>
        <v>0</v>
      </c>
      <c r="AU38" s="48">
        <f>'E-Commerce P&amp;L'!AV37</f>
        <v>0</v>
      </c>
      <c r="AV38" s="48">
        <f>'E-Commerce P&amp;L'!AW37</f>
        <v>0</v>
      </c>
      <c r="AW38" s="48">
        <f>'E-Commerce P&amp;L'!AX37</f>
        <v>0</v>
      </c>
      <c r="AX38" s="48">
        <f>'E-Commerce P&amp;L'!AY37</f>
        <v>0</v>
      </c>
      <c r="AY38" s="48">
        <f>'E-Commerce P&amp;L'!AZ37</f>
        <v>0</v>
      </c>
      <c r="AZ38" s="79">
        <f>'E-Commerce P&amp;L'!BA37</f>
        <v>0</v>
      </c>
      <c r="BA38" s="48">
        <f>'E-Commerce P&amp;L'!BB37</f>
        <v>0</v>
      </c>
      <c r="BB38" s="48">
        <f>'E-Commerce P&amp;L'!BC37</f>
        <v>0</v>
      </c>
      <c r="BC38" s="48">
        <f>'E-Commerce P&amp;L'!BD37</f>
        <v>0</v>
      </c>
      <c r="BD38" s="48">
        <f>'E-Commerce P&amp;L'!BE37</f>
        <v>0</v>
      </c>
      <c r="BE38" s="48">
        <f>'E-Commerce P&amp;L'!BF37</f>
        <v>0</v>
      </c>
      <c r="BF38" s="48">
        <f>'E-Commerce P&amp;L'!BG37</f>
        <v>0</v>
      </c>
      <c r="BG38" s="48">
        <f>'E-Commerce P&amp;L'!BH37</f>
        <v>0</v>
      </c>
      <c r="BH38" s="48">
        <f>'E-Commerce P&amp;L'!BI37</f>
        <v>0</v>
      </c>
      <c r="BI38" s="48">
        <f>'E-Commerce P&amp;L'!BJ37</f>
        <v>0</v>
      </c>
      <c r="BJ38" s="48">
        <f>'E-Commerce P&amp;L'!BK37</f>
        <v>0</v>
      </c>
      <c r="BK38" s="66">
        <f>'E-Commerce P&amp;L'!BL37</f>
        <v>0</v>
      </c>
    </row>
    <row r="39" spans="2:63" x14ac:dyDescent="0.2">
      <c r="B39" s="2"/>
      <c r="C39" s="3" t="s">
        <v>42</v>
      </c>
      <c r="D39" s="270">
        <f>'E-Commerce P&amp;L'!E38</f>
        <v>0</v>
      </c>
      <c r="E39" s="271">
        <f>'E-Commerce P&amp;L'!F38</f>
        <v>0</v>
      </c>
      <c r="F39" s="271">
        <f>'E-Commerce P&amp;L'!G38</f>
        <v>0</v>
      </c>
      <c r="G39" s="271">
        <f>'E-Commerce P&amp;L'!H38</f>
        <v>0</v>
      </c>
      <c r="H39" s="38">
        <f>'E-Commerce P&amp;L'!I38</f>
        <v>0</v>
      </c>
      <c r="I39" s="38">
        <f>'E-Commerce P&amp;L'!J38</f>
        <v>0</v>
      </c>
      <c r="J39" s="38">
        <f>'E-Commerce P&amp;L'!K38</f>
        <v>0</v>
      </c>
      <c r="K39" s="38">
        <f>'E-Commerce P&amp;L'!L38</f>
        <v>0</v>
      </c>
      <c r="L39" s="38">
        <f>'E-Commerce P&amp;L'!M38</f>
        <v>0</v>
      </c>
      <c r="M39" s="38">
        <f>'E-Commerce P&amp;L'!N38</f>
        <v>0</v>
      </c>
      <c r="N39" s="38">
        <f>'E-Commerce P&amp;L'!O38</f>
        <v>0</v>
      </c>
      <c r="O39" s="84">
        <f>'E-Commerce P&amp;L'!P38</f>
        <v>0</v>
      </c>
      <c r="P39" s="38">
        <f>'E-Commerce P&amp;L'!Q38</f>
        <v>0</v>
      </c>
      <c r="Q39" s="38">
        <f>'E-Commerce P&amp;L'!R38</f>
        <v>0</v>
      </c>
      <c r="R39" s="38">
        <f>'E-Commerce P&amp;L'!S38</f>
        <v>0</v>
      </c>
      <c r="S39" s="38">
        <f>'E-Commerce P&amp;L'!T38</f>
        <v>0</v>
      </c>
      <c r="T39" s="38">
        <f>'E-Commerce P&amp;L'!U38</f>
        <v>0</v>
      </c>
      <c r="U39" s="38">
        <f>'E-Commerce P&amp;L'!V38</f>
        <v>0</v>
      </c>
      <c r="V39" s="38">
        <f>'E-Commerce P&amp;L'!W38</f>
        <v>0</v>
      </c>
      <c r="W39" s="38">
        <f>'E-Commerce P&amp;L'!X38</f>
        <v>0</v>
      </c>
      <c r="X39" s="38">
        <f>'E-Commerce P&amp;L'!Y38</f>
        <v>0</v>
      </c>
      <c r="Y39" s="38">
        <f>'E-Commerce P&amp;L'!Z38</f>
        <v>0</v>
      </c>
      <c r="Z39" s="38">
        <f>'E-Commerce P&amp;L'!AA38</f>
        <v>0</v>
      </c>
      <c r="AA39" s="38">
        <f>'E-Commerce P&amp;L'!AB38</f>
        <v>0</v>
      </c>
      <c r="AB39" s="83">
        <f>'E-Commerce P&amp;L'!AC38</f>
        <v>0</v>
      </c>
      <c r="AC39" s="38">
        <f>'E-Commerce P&amp;L'!AD38</f>
        <v>0</v>
      </c>
      <c r="AD39" s="38">
        <f>'E-Commerce P&amp;L'!AE38</f>
        <v>0</v>
      </c>
      <c r="AE39" s="38">
        <f>'E-Commerce P&amp;L'!AF38</f>
        <v>0</v>
      </c>
      <c r="AF39" s="38">
        <f>'E-Commerce P&amp;L'!AG38</f>
        <v>0</v>
      </c>
      <c r="AG39" s="38">
        <f>'E-Commerce P&amp;L'!AH38</f>
        <v>0</v>
      </c>
      <c r="AH39" s="38">
        <f>'E-Commerce P&amp;L'!AI38</f>
        <v>0</v>
      </c>
      <c r="AI39" s="38">
        <f>'E-Commerce P&amp;L'!AJ38</f>
        <v>0</v>
      </c>
      <c r="AJ39" s="38">
        <f>'E-Commerce P&amp;L'!AK38</f>
        <v>0</v>
      </c>
      <c r="AK39" s="38">
        <f>'E-Commerce P&amp;L'!AL38</f>
        <v>0</v>
      </c>
      <c r="AL39" s="38">
        <f>'E-Commerce P&amp;L'!AM38</f>
        <v>0</v>
      </c>
      <c r="AM39" s="84">
        <f>'E-Commerce P&amp;L'!AN38</f>
        <v>0</v>
      </c>
      <c r="AN39" s="38">
        <f>'E-Commerce P&amp;L'!AO38</f>
        <v>0</v>
      </c>
      <c r="AO39" s="38">
        <f>'E-Commerce P&amp;L'!AP38</f>
        <v>0</v>
      </c>
      <c r="AP39" s="38">
        <f>'E-Commerce P&amp;L'!AQ38</f>
        <v>0</v>
      </c>
      <c r="AQ39" s="38">
        <f>'E-Commerce P&amp;L'!AR38</f>
        <v>0</v>
      </c>
      <c r="AR39" s="38">
        <f>'E-Commerce P&amp;L'!AS38</f>
        <v>0</v>
      </c>
      <c r="AS39" s="38">
        <f>'E-Commerce P&amp;L'!AT38</f>
        <v>0</v>
      </c>
      <c r="AT39" s="38">
        <f>'E-Commerce P&amp;L'!AU38</f>
        <v>0</v>
      </c>
      <c r="AU39" s="38">
        <f>'E-Commerce P&amp;L'!AV38</f>
        <v>0</v>
      </c>
      <c r="AV39" s="38">
        <f>'E-Commerce P&amp;L'!AW38</f>
        <v>0</v>
      </c>
      <c r="AW39" s="38">
        <f>'E-Commerce P&amp;L'!AX38</f>
        <v>0</v>
      </c>
      <c r="AX39" s="38">
        <f>'E-Commerce P&amp;L'!AY38</f>
        <v>0</v>
      </c>
      <c r="AY39" s="38">
        <f>'E-Commerce P&amp;L'!AZ38</f>
        <v>0</v>
      </c>
      <c r="AZ39" s="83">
        <f>'E-Commerce P&amp;L'!BA38</f>
        <v>0</v>
      </c>
      <c r="BA39" s="38">
        <f>'E-Commerce P&amp;L'!BB38</f>
        <v>0</v>
      </c>
      <c r="BB39" s="38">
        <f>'E-Commerce P&amp;L'!BC38</f>
        <v>0</v>
      </c>
      <c r="BC39" s="38">
        <f>'E-Commerce P&amp;L'!BD38</f>
        <v>0</v>
      </c>
      <c r="BD39" s="38">
        <f>'E-Commerce P&amp;L'!BE38</f>
        <v>0</v>
      </c>
      <c r="BE39" s="38">
        <f>'E-Commerce P&amp;L'!BF38</f>
        <v>0</v>
      </c>
      <c r="BF39" s="38">
        <f>'E-Commerce P&amp;L'!BG38</f>
        <v>0</v>
      </c>
      <c r="BG39" s="38">
        <f>'E-Commerce P&amp;L'!BH38</f>
        <v>0</v>
      </c>
      <c r="BH39" s="38">
        <f>'E-Commerce P&amp;L'!BI38</f>
        <v>0</v>
      </c>
      <c r="BI39" s="38">
        <f>'E-Commerce P&amp;L'!BJ38</f>
        <v>0</v>
      </c>
      <c r="BJ39" s="38">
        <f>'E-Commerce P&amp;L'!BK38</f>
        <v>0</v>
      </c>
      <c r="BK39" s="84">
        <f>'E-Commerce P&amp;L'!BL38</f>
        <v>0</v>
      </c>
    </row>
    <row r="40" spans="2:63" s="1" customFormat="1" x14ac:dyDescent="0.2">
      <c r="B40" s="45"/>
      <c r="C40" s="142" t="s">
        <v>43</v>
      </c>
      <c r="D40" s="279">
        <f>SUM(D32:D39)</f>
        <v>40632</v>
      </c>
      <c r="E40" s="280">
        <f t="shared" ref="E40:BK40" si="7">SUM(E32:E39)</f>
        <v>42423</v>
      </c>
      <c r="F40" s="280">
        <f t="shared" si="7"/>
        <v>40320</v>
      </c>
      <c r="G40" s="280">
        <f t="shared" si="7"/>
        <v>39932</v>
      </c>
      <c r="H40" s="20">
        <f t="shared" si="7"/>
        <v>40360</v>
      </c>
      <c r="I40" s="20">
        <f t="shared" si="7"/>
        <v>40360</v>
      </c>
      <c r="J40" s="20">
        <f t="shared" si="7"/>
        <v>51470</v>
      </c>
      <c r="K40" s="20">
        <f t="shared" si="7"/>
        <v>51470</v>
      </c>
      <c r="L40" s="20">
        <f t="shared" si="7"/>
        <v>51470</v>
      </c>
      <c r="M40" s="20">
        <f t="shared" si="7"/>
        <v>51470</v>
      </c>
      <c r="N40" s="20">
        <f t="shared" si="7"/>
        <v>51480</v>
      </c>
      <c r="O40" s="67">
        <f t="shared" si="7"/>
        <v>51480</v>
      </c>
      <c r="P40" s="20">
        <f t="shared" si="7"/>
        <v>66080</v>
      </c>
      <c r="Q40" s="20">
        <f t="shared" si="7"/>
        <v>66080</v>
      </c>
      <c r="R40" s="20">
        <f t="shared" si="7"/>
        <v>66090</v>
      </c>
      <c r="S40" s="20">
        <f t="shared" si="7"/>
        <v>66090</v>
      </c>
      <c r="T40" s="20">
        <f t="shared" si="7"/>
        <v>66090</v>
      </c>
      <c r="U40" s="20">
        <f t="shared" si="7"/>
        <v>66090</v>
      </c>
      <c r="V40" s="20">
        <f t="shared" si="7"/>
        <v>88300</v>
      </c>
      <c r="W40" s="20">
        <f t="shared" si="7"/>
        <v>88300</v>
      </c>
      <c r="X40" s="20">
        <f t="shared" si="7"/>
        <v>88300</v>
      </c>
      <c r="Y40" s="20">
        <f t="shared" si="7"/>
        <v>88300</v>
      </c>
      <c r="Z40" s="20">
        <f t="shared" si="7"/>
        <v>88310</v>
      </c>
      <c r="AA40" s="20">
        <f t="shared" si="7"/>
        <v>88310</v>
      </c>
      <c r="AB40" s="80">
        <f t="shared" si="7"/>
        <v>88310</v>
      </c>
      <c r="AC40" s="20">
        <f t="shared" si="7"/>
        <v>88310</v>
      </c>
      <c r="AD40" s="20">
        <f t="shared" si="7"/>
        <v>88310</v>
      </c>
      <c r="AE40" s="20">
        <f t="shared" si="7"/>
        <v>88320</v>
      </c>
      <c r="AF40" s="20">
        <f t="shared" si="7"/>
        <v>88320</v>
      </c>
      <c r="AG40" s="20">
        <f t="shared" si="7"/>
        <v>88320</v>
      </c>
      <c r="AH40" s="20">
        <f t="shared" si="7"/>
        <v>88320</v>
      </c>
      <c r="AI40" s="20">
        <f t="shared" si="7"/>
        <v>88320</v>
      </c>
      <c r="AJ40" s="20">
        <f t="shared" si="7"/>
        <v>88320</v>
      </c>
      <c r="AK40" s="20">
        <f t="shared" si="7"/>
        <v>88330</v>
      </c>
      <c r="AL40" s="20">
        <f t="shared" si="7"/>
        <v>88330</v>
      </c>
      <c r="AM40" s="67">
        <f t="shared" si="7"/>
        <v>88330</v>
      </c>
      <c r="AN40" s="20">
        <f t="shared" si="7"/>
        <v>88330</v>
      </c>
      <c r="AO40" s="20">
        <f t="shared" si="7"/>
        <v>88330</v>
      </c>
      <c r="AP40" s="20">
        <f t="shared" si="7"/>
        <v>88330</v>
      </c>
      <c r="AQ40" s="20">
        <f t="shared" si="7"/>
        <v>88340</v>
      </c>
      <c r="AR40" s="20">
        <f t="shared" si="7"/>
        <v>88340</v>
      </c>
      <c r="AS40" s="20">
        <f t="shared" si="7"/>
        <v>88340</v>
      </c>
      <c r="AT40" s="20">
        <f t="shared" si="7"/>
        <v>88340</v>
      </c>
      <c r="AU40" s="20">
        <f t="shared" si="7"/>
        <v>88340</v>
      </c>
      <c r="AV40" s="20">
        <f t="shared" si="7"/>
        <v>88340</v>
      </c>
      <c r="AW40" s="20">
        <f t="shared" si="7"/>
        <v>88340</v>
      </c>
      <c r="AX40" s="20">
        <f t="shared" si="7"/>
        <v>88350</v>
      </c>
      <c r="AY40" s="20">
        <f t="shared" si="7"/>
        <v>88350</v>
      </c>
      <c r="AZ40" s="80">
        <f t="shared" si="7"/>
        <v>88350</v>
      </c>
      <c r="BA40" s="20">
        <f t="shared" si="7"/>
        <v>88350</v>
      </c>
      <c r="BB40" s="20">
        <f t="shared" si="7"/>
        <v>88350</v>
      </c>
      <c r="BC40" s="20">
        <f t="shared" si="7"/>
        <v>88350</v>
      </c>
      <c r="BD40" s="20">
        <f t="shared" si="7"/>
        <v>88360</v>
      </c>
      <c r="BE40" s="20">
        <f t="shared" si="7"/>
        <v>88360</v>
      </c>
      <c r="BF40" s="20">
        <f t="shared" si="7"/>
        <v>88360</v>
      </c>
      <c r="BG40" s="20">
        <f t="shared" si="7"/>
        <v>88360</v>
      </c>
      <c r="BH40" s="20">
        <f t="shared" si="7"/>
        <v>88360</v>
      </c>
      <c r="BI40" s="20">
        <f t="shared" si="7"/>
        <v>88360</v>
      </c>
      <c r="BJ40" s="20">
        <f t="shared" si="7"/>
        <v>88370</v>
      </c>
      <c r="BK40" s="67">
        <f t="shared" si="7"/>
        <v>88370</v>
      </c>
    </row>
    <row r="41" spans="2:63" ht="17" thickBot="1" x14ac:dyDescent="0.25">
      <c r="B41" s="2"/>
      <c r="C41" s="3"/>
      <c r="D41" s="295"/>
      <c r="E41" s="296"/>
      <c r="F41" s="296"/>
      <c r="G41" s="296"/>
      <c r="H41" s="285"/>
      <c r="I41" s="285"/>
      <c r="J41" s="285"/>
      <c r="K41" s="285"/>
      <c r="L41" s="285"/>
      <c r="M41" s="285"/>
      <c r="N41" s="285"/>
      <c r="O41" s="91"/>
      <c r="AB41" s="90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91"/>
      <c r="AZ41" s="90"/>
      <c r="BA41" s="285"/>
      <c r="BB41" s="285"/>
      <c r="BC41" s="285"/>
      <c r="BD41" s="285"/>
      <c r="BE41" s="285"/>
      <c r="BF41" s="285"/>
      <c r="BG41" s="285"/>
      <c r="BH41" s="285"/>
      <c r="BI41" s="285"/>
      <c r="BJ41" s="285"/>
      <c r="BK41" s="91"/>
    </row>
    <row r="42" spans="2:63" s="1" customFormat="1" ht="17" thickBot="1" x14ac:dyDescent="0.25">
      <c r="B42" s="146" t="s">
        <v>22</v>
      </c>
      <c r="C42" s="147"/>
      <c r="D42" s="383">
        <f>D29-D40</f>
        <v>-24398.5</v>
      </c>
      <c r="E42" s="383">
        <f t="shared" ref="E42:BK42" si="8">E29-E40</f>
        <v>-29278.5</v>
      </c>
      <c r="F42" s="383">
        <f t="shared" si="8"/>
        <v>-14179</v>
      </c>
      <c r="G42" s="383">
        <f t="shared" si="8"/>
        <v>-32309.412429105665</v>
      </c>
      <c r="H42" s="384">
        <f t="shared" si="8"/>
        <v>-45101.379531278231</v>
      </c>
      <c r="I42" s="384">
        <f t="shared" si="8"/>
        <v>-40499.148972638235</v>
      </c>
      <c r="J42" s="384">
        <f t="shared" si="8"/>
        <v>-47740.659969307038</v>
      </c>
      <c r="K42" s="384">
        <f t="shared" si="8"/>
        <v>-43347.891845709339</v>
      </c>
      <c r="L42" s="384">
        <f t="shared" si="8"/>
        <v>-39059.822272223828</v>
      </c>
      <c r="M42" s="384">
        <f t="shared" si="8"/>
        <v>-34876.427132859477</v>
      </c>
      <c r="N42" s="384">
        <f t="shared" si="8"/>
        <v>-31457.680382345978</v>
      </c>
      <c r="O42" s="385">
        <f t="shared" si="8"/>
        <v>-27483.553891791395</v>
      </c>
      <c r="P42" s="148">
        <f t="shared" si="8"/>
        <v>-38214.017281992448</v>
      </c>
      <c r="Q42" s="148">
        <f t="shared" si="8"/>
        <v>-34407.037743409586</v>
      </c>
      <c r="R42" s="148">
        <f t="shared" si="8"/>
        <v>-31364.579841740095</v>
      </c>
      <c r="S42" s="148">
        <f t="shared" si="8"/>
        <v>-27745.605307937018</v>
      </c>
      <c r="T42" s="148">
        <f t="shared" si="8"/>
        <v>-24210.072811429738</v>
      </c>
      <c r="U42" s="148">
        <f t="shared" si="8"/>
        <v>-20757.937715201871</v>
      </c>
      <c r="V42" s="148">
        <f t="shared" si="8"/>
        <v>-40249.151811275777</v>
      </c>
      <c r="W42" s="148">
        <f t="shared" si="8"/>
        <v>-36963.663035035541</v>
      </c>
      <c r="X42" s="148">
        <f t="shared" si="8"/>
        <v>-33740.415156696123</v>
      </c>
      <c r="Y42" s="148">
        <f t="shared" si="8"/>
        <v>-30600.347448089567</v>
      </c>
      <c r="Z42" s="148">
        <f t="shared" si="8"/>
        <v>-28182.394322794455</v>
      </c>
      <c r="AA42" s="148">
        <f t="shared" si="8"/>
        <v>-25166.484947475765</v>
      </c>
      <c r="AB42" s="150">
        <f t="shared" si="8"/>
        <v>-59445.972216944254</v>
      </c>
      <c r="AC42" s="148">
        <f t="shared" si="8"/>
        <v>-56553.91472157251</v>
      </c>
      <c r="AD42" s="148">
        <f t="shared" si="8"/>
        <v>-53723.652626571042</v>
      </c>
      <c r="AE42" s="148">
        <f t="shared" si="8"/>
        <v>-51615.089563969435</v>
      </c>
      <c r="AF42" s="148">
        <f t="shared" si="8"/>
        <v>-48908.121456359746</v>
      </c>
      <c r="AG42" s="148">
        <f t="shared" si="8"/>
        <v>-46241.635900141235</v>
      </c>
      <c r="AH42" s="148">
        <f t="shared" si="8"/>
        <v>-43615.511499425294</v>
      </c>
      <c r="AI42" s="148">
        <f t="shared" si="8"/>
        <v>-41029.617146652046</v>
      </c>
      <c r="AJ42" s="148">
        <f t="shared" si="8"/>
        <v>-38525.811245656936</v>
      </c>
      <c r="AK42" s="148">
        <f t="shared" si="8"/>
        <v>-36700.9408725822</v>
      </c>
      <c r="AL42" s="148">
        <f t="shared" si="8"/>
        <v>-34255.840869661508</v>
      </c>
      <c r="AM42" s="149">
        <f t="shared" si="8"/>
        <v>-31850.33286650716</v>
      </c>
      <c r="AN42" s="148">
        <f t="shared" si="8"/>
        <v>-29463.224223100464</v>
      </c>
      <c r="AO42" s="148">
        <f t="shared" si="8"/>
        <v>-27115.306888221239</v>
      </c>
      <c r="AP42" s="148">
        <f t="shared" si="8"/>
        <v>-24806.356166551646</v>
      </c>
      <c r="AQ42" s="148">
        <f t="shared" si="8"/>
        <v>-23154.12938714851</v>
      </c>
      <c r="AR42" s="148">
        <f t="shared" si="8"/>
        <v>-20880.364465393126</v>
      </c>
      <c r="AS42" s="148">
        <f t="shared" si="8"/>
        <v>-18623.778349897286</v>
      </c>
      <c r="AT42" s="148">
        <f t="shared" si="8"/>
        <v>-16363.065345161798</v>
      </c>
      <c r="AU42" s="148">
        <f t="shared" si="8"/>
        <v>-14118.895300047472</v>
      </c>
      <c r="AV42" s="148">
        <f t="shared" si="8"/>
        <v>-11890.911651324015</v>
      </c>
      <c r="AW42" s="148">
        <f t="shared" si="8"/>
        <v>-9657.7293107026489</v>
      </c>
      <c r="AX42" s="148">
        <f t="shared" si="8"/>
        <v>-8078.9323828315828</v>
      </c>
      <c r="AY42" s="148">
        <f t="shared" si="8"/>
        <v>-5834.0717007308267</v>
      </c>
      <c r="AZ42" s="150">
        <f t="shared" si="8"/>
        <v>-3582.6621640620288</v>
      </c>
      <c r="BA42" s="148">
        <f t="shared" si="8"/>
        <v>-1282.1798644597293</v>
      </c>
      <c r="BB42" s="148">
        <f t="shared" si="8"/>
        <v>1025.9410191107891</v>
      </c>
      <c r="BC42" s="148">
        <f t="shared" si="8"/>
        <v>3363.3115733668674</v>
      </c>
      <c r="BD42" s="148">
        <f t="shared" si="8"/>
        <v>5091.5917719635181</v>
      </c>
      <c r="BE42" s="148">
        <f t="shared" si="8"/>
        <v>7510.4943864478846</v>
      </c>
      <c r="BF42" s="148">
        <f t="shared" si="8"/>
        <v>9960.7892100909376</v>
      </c>
      <c r="BG42" s="148">
        <f t="shared" si="8"/>
        <v>12485.307619625586</v>
      </c>
      <c r="BH42" s="148">
        <f t="shared" si="8"/>
        <v>15084.94750192287</v>
      </c>
      <c r="BI42" s="148">
        <f t="shared" si="8"/>
        <v>17760.678574803984</v>
      </c>
      <c r="BJ42" s="148">
        <f t="shared" si="8"/>
        <v>19853.548133515578</v>
      </c>
      <c r="BK42" s="149">
        <f t="shared" si="8"/>
        <v>22705.687256924051</v>
      </c>
    </row>
    <row r="43" spans="2:63" x14ac:dyDescent="0.2">
      <c r="B43" s="45"/>
      <c r="C43" s="1"/>
      <c r="D43" s="373"/>
      <c r="E43" s="374"/>
      <c r="F43" s="374"/>
      <c r="G43" s="374"/>
      <c r="H43" s="375"/>
      <c r="I43" s="375"/>
      <c r="J43" s="375"/>
      <c r="K43" s="375"/>
      <c r="L43" s="375"/>
      <c r="M43" s="375"/>
      <c r="N43" s="375"/>
      <c r="O43" s="376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8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89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8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89"/>
    </row>
    <row r="44" spans="2:63" x14ac:dyDescent="0.2">
      <c r="B44" s="45"/>
      <c r="C44" s="1" t="s">
        <v>151</v>
      </c>
      <c r="D44" s="281">
        <f>'Cash Flow - Monthly'!C5*InterestOnBankBalances/12</f>
        <v>283.33333333333331</v>
      </c>
      <c r="E44" s="282">
        <f>'Cash Flow - Monthly'!D5*InterestOnBankBalances/12</f>
        <v>110.44611111111112</v>
      </c>
      <c r="F44" s="282">
        <f>'Cash Flow - Monthly'!E5*InterestOnBankBalances/12</f>
        <v>32.237598148148159</v>
      </c>
      <c r="G44" s="282">
        <f>'Cash Flow - Monthly'!F5*InterestOnBankBalances/12</f>
        <v>1645.8517234753087</v>
      </c>
      <c r="H44" s="18">
        <f>'Cash Flow - Monthly'!G5*InterestOnBankBalances/12</f>
        <v>1645.4693177898744</v>
      </c>
      <c r="I44" s="18">
        <f>'Cash Flow - Monthly'!H5*InterestOnBankBalances/12</f>
        <v>1581.4092244393175</v>
      </c>
      <c r="J44" s="18">
        <f>'Cash Flow - Monthly'!I5*InterestOnBankBalances/12</f>
        <v>1458.0737735086543</v>
      </c>
      <c r="K44" s="18">
        <f>'Cash Flow - Monthly'!J5*InterestOnBankBalances/12</f>
        <v>1310.4390622777266</v>
      </c>
      <c r="L44" s="18">
        <f>'Cash Flow - Monthly'!K5*InterestOnBankBalances/12</f>
        <v>1176.4133751750931</v>
      </c>
      <c r="M44" s="18">
        <f>'Cash Flow - Monthly'!L5*InterestOnBankBalances/12</f>
        <v>1056.0889334677738</v>
      </c>
      <c r="N44" s="18">
        <f>'Cash Flow - Monthly'!M5*InterestOnBankBalances/12</f>
        <v>949.16251445527189</v>
      </c>
      <c r="O44" s="89">
        <f>'Cash Flow - Monthly'!N5*InterestOnBankBalances/12</f>
        <v>853.16330654661112</v>
      </c>
      <c r="P44" s="18">
        <f>'Cash Flow - Monthly'!O5*InterestOnBankBalances/12</f>
        <v>769.91235771218123</v>
      </c>
      <c r="Q44" s="18">
        <f>'Cash Flow - Monthly'!P5*InterestOnBankBalances/12</f>
        <v>652.47022266361068</v>
      </c>
      <c r="R44" s="18">
        <f>'Cash Flow - Monthly'!Q5*InterestOnBankBalances/12</f>
        <v>545.23943613607673</v>
      </c>
      <c r="S44" s="18">
        <f>'Cash Flow - Monthly'!R5*InterestOnBankBalances/12</f>
        <v>447.68066174234576</v>
      </c>
      <c r="T44" s="18">
        <f>'Cash Flow - Monthly'!S5*InterestOnBankBalances/12</f>
        <v>361.71039536997523</v>
      </c>
      <c r="U44" s="18">
        <f>'Cash Flow - Monthly'!T5*InterestOnBankBalances/12</f>
        <v>287.12249502725007</v>
      </c>
      <c r="V44" s="18">
        <f>'Cash Flow - Monthly'!U5*InterestOnBankBalances/12</f>
        <v>223.67694995433985</v>
      </c>
      <c r="W44" s="18">
        <f>'Cash Flow - Monthly'!V5*InterestOnBankBalances/12</f>
        <v>3428.9664465304872</v>
      </c>
      <c r="X44" s="18">
        <f>'Cash Flow - Monthly'!W5*InterestOnBankBalances/12</f>
        <v>3321.7424903718002</v>
      </c>
      <c r="Y44" s="18">
        <f>'Cash Flow - Monthly'!X5*InterestOnBankBalances/12</f>
        <v>3224.8184498846217</v>
      </c>
      <c r="Z44" s="18">
        <f>'Cash Flow - Monthly'!Y5*InterestOnBankBalances/12</f>
        <v>3137.9222777632203</v>
      </c>
      <c r="AA44" s="18">
        <f>'Cash Flow - Monthly'!Z5*InterestOnBankBalances/12</f>
        <v>3058.7429094488739</v>
      </c>
      <c r="AB44" s="88">
        <f>'Cash Flow - Monthly'!AA5*InterestOnBankBalances/12</f>
        <v>2989.2326509047357</v>
      </c>
      <c r="AC44" s="18">
        <f>'Cash Flow - Monthly'!AB5*InterestOnBankBalances/12</f>
        <v>2790.3456766410932</v>
      </c>
      <c r="AD44" s="18">
        <f>'Cash Flow - Monthly'!AC5*InterestOnBankBalances/12</f>
        <v>2615.142888635954</v>
      </c>
      <c r="AE44" s="18">
        <f>'Cash Flow - Monthly'!AD5*InterestOnBankBalances/12</f>
        <v>2448.7038603590404</v>
      </c>
      <c r="AF44" s="18">
        <f>'Cash Flow - Monthly'!AE5*InterestOnBankBalances/12</f>
        <v>2288.6855591978388</v>
      </c>
      <c r="AG44" s="18">
        <f>'Cash Flow - Monthly'!AF5*InterestOnBankBalances/12</f>
        <v>2137.0374961528646</v>
      </c>
      <c r="AH44" s="18">
        <f>'Cash Flow - Monthly'!AG5*InterestOnBankBalances/12</f>
        <v>1993.7152292807816</v>
      </c>
      <c r="AI44" s="18">
        <f>'Cash Flow - Monthly'!AH5*InterestOnBankBalances/12</f>
        <v>1858.6120810794746</v>
      </c>
      <c r="AJ44" s="18">
        <f>'Cash Flow - Monthly'!AI5*InterestOnBankBalances/12</f>
        <v>1731.6214640426745</v>
      </c>
      <c r="AK44" s="18">
        <f>'Cash Flow - Monthly'!AJ5*InterestOnBankBalances/12</f>
        <v>1612.4385832736114</v>
      </c>
      <c r="AL44" s="18">
        <f>'Cash Flow - Monthly'!AK5*InterestOnBankBalances/12</f>
        <v>1498.9473142924719</v>
      </c>
      <c r="AM44" s="89">
        <f>'Cash Flow - Monthly'!AL5*InterestOnBankBalances/12</f>
        <v>1393.1383735164561</v>
      </c>
      <c r="AN44" s="18">
        <f>'Cash Flow - Monthly'!AM5*InterestOnBankBalances/12</f>
        <v>1294.9388859677181</v>
      </c>
      <c r="AO44" s="18">
        <f>'Cash Flow - Monthly'!AN5*InterestOnBankBalances/12</f>
        <v>1204.3422217994055</v>
      </c>
      <c r="AP44" s="18">
        <f>'Cash Flow - Monthly'!AO5*InterestOnBankBalances/12</f>
        <v>1121.2141028232325</v>
      </c>
      <c r="AQ44" s="18">
        <f>'Cash Flow - Monthly'!AP5*InterestOnBankBalances/12</f>
        <v>1045.4497335823232</v>
      </c>
      <c r="AR44" s="18">
        <f>'Cash Flow - Monthly'!AQ5*InterestOnBankBalances/12</f>
        <v>974.9764607196762</v>
      </c>
      <c r="AS44" s="18">
        <f>'Cash Flow - Monthly'!AR5*InterestOnBankBalances/12</f>
        <v>911.75894609861086</v>
      </c>
      <c r="AT44" s="18">
        <f>'Cash Flow - Monthly'!AS5*InterestOnBankBalances/12</f>
        <v>855.82686244535569</v>
      </c>
      <c r="AU44" s="18">
        <f>'Cash Flow - Monthly'!AT5*InterestOnBankBalances/12</f>
        <v>807.24768701112725</v>
      </c>
      <c r="AV44" s="18">
        <f>'Cash Flow - Monthly'!AU5*InterestOnBankBalances/12</f>
        <v>765.96191070315172</v>
      </c>
      <c r="AW44" s="18">
        <f>'Cash Flow - Monthly'!AV5*InterestOnBankBalances/12</f>
        <v>731.94020456206636</v>
      </c>
      <c r="AX44" s="18">
        <f>'Cash Flow - Monthly'!AW5*InterestOnBankBalances/12</f>
        <v>705.25361730879388</v>
      </c>
      <c r="AY44" s="18">
        <f>'Cash Flow - Monthly'!AX5*InterestOnBankBalances/12</f>
        <v>683.77901463895648</v>
      </c>
      <c r="AZ44" s="88">
        <f>'Cash Flow - Monthly'!AY5*InterestOnBankBalances/12</f>
        <v>669.68771169110778</v>
      </c>
      <c r="BA44" s="18">
        <f>'Cash Flow - Monthly'!AZ5*InterestOnBankBalances/12</f>
        <v>663.05991000279221</v>
      </c>
      <c r="BB44" s="18">
        <f>'Cash Flow - Monthly'!BA5*InterestOnBankBalances/12</f>
        <v>664.14285902642348</v>
      </c>
      <c r="BC44" s="18">
        <f>'Cash Flow - Monthly'!BB5*InterestOnBankBalances/12</f>
        <v>672.92988873511445</v>
      </c>
      <c r="BD44" s="18">
        <f>'Cash Flow - Monthly'!BC5*InterestOnBankBalances/12</f>
        <v>689.57388373288006</v>
      </c>
      <c r="BE44" s="18">
        <f>'Cash Flow - Monthly'!BD5*InterestOnBankBalances/12</f>
        <v>712.13381458588765</v>
      </c>
      <c r="BF44" s="18">
        <f>'Cash Flow - Monthly'!BE5*InterestOnBankBalances/12</f>
        <v>742.83627088340802</v>
      </c>
      <c r="BG44" s="18">
        <f>'Cash Flow - Monthly'!BF5*InterestOnBankBalances/12</f>
        <v>781.84704709758955</v>
      </c>
      <c r="BH44" s="18">
        <f>'Cash Flow - Monthly'!BG5*InterestOnBankBalances/12</f>
        <v>829.50031589980892</v>
      </c>
      <c r="BI44" s="18">
        <f>'Cash Flow - Monthly'!BH5*InterestOnBankBalances/12</f>
        <v>886.07608213207777</v>
      </c>
      <c r="BJ44" s="18">
        <f>'Cash Flow - Monthly'!BI5*InterestOnBankBalances/12</f>
        <v>951.85857970855341</v>
      </c>
      <c r="BK44" s="89">
        <f>'Cash Flow - Monthly'!BJ5*InterestOnBankBalances/12</f>
        <v>1024.9698827035911</v>
      </c>
    </row>
    <row r="45" spans="2:63" x14ac:dyDescent="0.2">
      <c r="B45" s="45"/>
      <c r="C45" s="1" t="s">
        <v>147</v>
      </c>
      <c r="D45" s="281">
        <f>('Kiosk P&amp;L'!D21+'Kiosk P&amp;L'!D22)*-1</f>
        <v>-2833.3333333333335</v>
      </c>
      <c r="E45" s="282">
        <f>('Kiosk P&amp;L'!E21+'Kiosk P&amp;L'!E22)*-1</f>
        <v>-2833.3333333333335</v>
      </c>
      <c r="F45" s="282">
        <f>('Kiosk P&amp;L'!F21+'Kiosk P&amp;L'!F22)*-1</f>
        <v>-2833.3333333333335</v>
      </c>
      <c r="G45" s="282">
        <f>('Kiosk P&amp;L'!G21+'Kiosk P&amp;L'!G22)*-1</f>
        <v>-2833.3333333333335</v>
      </c>
      <c r="H45" s="18">
        <f>('Kiosk P&amp;L'!H21+'Kiosk P&amp;L'!H22)*-1</f>
        <v>-2833.3333333333335</v>
      </c>
      <c r="I45" s="18">
        <f>('Kiosk P&amp;L'!I21+'Kiosk P&amp;L'!I22)*-1</f>
        <v>-2833.3333333333335</v>
      </c>
      <c r="J45" s="18">
        <f>('Kiosk P&amp;L'!J21+'Kiosk P&amp;L'!J22)*-1</f>
        <v>-2833.3333333333335</v>
      </c>
      <c r="K45" s="18">
        <f>('Kiosk P&amp;L'!K21+'Kiosk P&amp;L'!K22)*-1</f>
        <v>-2833.3333333333335</v>
      </c>
      <c r="L45" s="18">
        <f>('Kiosk P&amp;L'!L21+'Kiosk P&amp;L'!L22)*-1</f>
        <v>-2833.3333333333335</v>
      </c>
      <c r="M45" s="18">
        <f>('Kiosk P&amp;L'!M21+'Kiosk P&amp;L'!M22)*-1</f>
        <v>-2833.3333333333335</v>
      </c>
      <c r="N45" s="18">
        <f>('Kiosk P&amp;L'!N21+'Kiosk P&amp;L'!N22)*-1</f>
        <v>-2833.3333333333335</v>
      </c>
      <c r="O45" s="89">
        <f>('Kiosk P&amp;L'!O21+'Kiosk P&amp;L'!O22)*-1</f>
        <v>-2833.3333333333335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8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89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8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89"/>
    </row>
    <row r="46" spans="2:63" ht="17" thickBot="1" x14ac:dyDescent="0.25">
      <c r="B46" s="53"/>
      <c r="C46" s="54"/>
      <c r="D46" s="377"/>
      <c r="E46" s="378"/>
      <c r="F46" s="378"/>
      <c r="G46" s="378"/>
      <c r="H46" s="92"/>
      <c r="I46" s="92"/>
      <c r="J46" s="92"/>
      <c r="K46" s="92"/>
      <c r="L46" s="92"/>
      <c r="M46" s="92"/>
      <c r="N46" s="92"/>
      <c r="O46" s="93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8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89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8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89"/>
    </row>
    <row r="47" spans="2:63" s="1" customFormat="1" ht="17" thickBot="1" x14ac:dyDescent="0.25">
      <c r="B47" s="14" t="s">
        <v>152</v>
      </c>
      <c r="C47" s="132"/>
      <c r="D47" s="328">
        <f>D42+SUM(D44:D46)</f>
        <v>-26948.5</v>
      </c>
      <c r="E47" s="329">
        <f>E42+SUM(E44:E46)</f>
        <v>-32001.387222222223</v>
      </c>
      <c r="F47" s="329">
        <f t="shared" ref="F47:BK47" si="9">F42+SUM(F44:F46)</f>
        <v>-16980.095735185187</v>
      </c>
      <c r="G47" s="329">
        <f t="shared" si="9"/>
        <v>-33496.894038963692</v>
      </c>
      <c r="H47" s="386">
        <f t="shared" si="9"/>
        <v>-46289.243546821694</v>
      </c>
      <c r="I47" s="386">
        <f t="shared" si="9"/>
        <v>-41751.073081532253</v>
      </c>
      <c r="J47" s="386">
        <f t="shared" si="9"/>
        <v>-49115.919529131716</v>
      </c>
      <c r="K47" s="386">
        <f t="shared" si="9"/>
        <v>-44870.786116764946</v>
      </c>
      <c r="L47" s="386">
        <f t="shared" si="9"/>
        <v>-40716.742230382071</v>
      </c>
      <c r="M47" s="386">
        <f t="shared" si="9"/>
        <v>-36653.671532725035</v>
      </c>
      <c r="N47" s="386">
        <f t="shared" si="9"/>
        <v>-33341.851201224039</v>
      </c>
      <c r="O47" s="387">
        <f t="shared" si="9"/>
        <v>-29463.723918578118</v>
      </c>
      <c r="P47" s="101">
        <f t="shared" si="9"/>
        <v>-37444.104924280269</v>
      </c>
      <c r="Q47" s="101">
        <f t="shared" si="9"/>
        <v>-33754.567520745979</v>
      </c>
      <c r="R47" s="101">
        <f t="shared" si="9"/>
        <v>-30819.340405604016</v>
      </c>
      <c r="S47" s="101">
        <f t="shared" si="9"/>
        <v>-27297.924646194671</v>
      </c>
      <c r="T47" s="101">
        <f t="shared" si="9"/>
        <v>-23848.362416059761</v>
      </c>
      <c r="U47" s="101">
        <f t="shared" si="9"/>
        <v>-20470.81522017462</v>
      </c>
      <c r="V47" s="101">
        <f t="shared" si="9"/>
        <v>-40025.47486132144</v>
      </c>
      <c r="W47" s="101">
        <f t="shared" si="9"/>
        <v>-33534.696588505052</v>
      </c>
      <c r="X47" s="101">
        <f t="shared" si="9"/>
        <v>-30418.672666324324</v>
      </c>
      <c r="Y47" s="101">
        <f t="shared" si="9"/>
        <v>-27375.528998204947</v>
      </c>
      <c r="Z47" s="101">
        <f t="shared" si="9"/>
        <v>-25044.472045031234</v>
      </c>
      <c r="AA47" s="101">
        <f t="shared" si="9"/>
        <v>-22107.742038026892</v>
      </c>
      <c r="AB47" s="103">
        <f t="shared" si="9"/>
        <v>-56456.73956603952</v>
      </c>
      <c r="AC47" s="101">
        <f t="shared" si="9"/>
        <v>-53763.569044931413</v>
      </c>
      <c r="AD47" s="101">
        <f t="shared" si="9"/>
        <v>-51108.509737935085</v>
      </c>
      <c r="AE47" s="101">
        <f t="shared" si="9"/>
        <v>-49166.385703610395</v>
      </c>
      <c r="AF47" s="101">
        <f t="shared" si="9"/>
        <v>-46619.435897161908</v>
      </c>
      <c r="AG47" s="101">
        <f t="shared" si="9"/>
        <v>-44104.59840398837</v>
      </c>
      <c r="AH47" s="101">
        <f t="shared" si="9"/>
        <v>-41621.796270144514</v>
      </c>
      <c r="AI47" s="101">
        <f t="shared" si="9"/>
        <v>-39171.005065572572</v>
      </c>
      <c r="AJ47" s="101">
        <f t="shared" si="9"/>
        <v>-36794.189781614259</v>
      </c>
      <c r="AK47" s="101">
        <f t="shared" si="9"/>
        <v>-35088.502289308592</v>
      </c>
      <c r="AL47" s="101">
        <f t="shared" si="9"/>
        <v>-32756.893555369035</v>
      </c>
      <c r="AM47" s="102">
        <f t="shared" si="9"/>
        <v>-30457.194492990704</v>
      </c>
      <c r="AN47" s="101">
        <f t="shared" si="9"/>
        <v>-28168.285337132747</v>
      </c>
      <c r="AO47" s="101">
        <f t="shared" si="9"/>
        <v>-25910.964666421834</v>
      </c>
      <c r="AP47" s="101">
        <f t="shared" si="9"/>
        <v>-23685.142063728414</v>
      </c>
      <c r="AQ47" s="101">
        <f t="shared" si="9"/>
        <v>-22108.679653566189</v>
      </c>
      <c r="AR47" s="101">
        <f t="shared" si="9"/>
        <v>-19905.388004673448</v>
      </c>
      <c r="AS47" s="101">
        <f t="shared" si="9"/>
        <v>-17712.019403798677</v>
      </c>
      <c r="AT47" s="101">
        <f t="shared" si="9"/>
        <v>-15507.238482716442</v>
      </c>
      <c r="AU47" s="101">
        <f t="shared" si="9"/>
        <v>-13311.647613036344</v>
      </c>
      <c r="AV47" s="101">
        <f t="shared" si="9"/>
        <v>-11124.949740620863</v>
      </c>
      <c r="AW47" s="101">
        <f t="shared" si="9"/>
        <v>-8925.7891061405826</v>
      </c>
      <c r="AX47" s="101">
        <f t="shared" si="9"/>
        <v>-7373.678765522789</v>
      </c>
      <c r="AY47" s="101">
        <f t="shared" si="9"/>
        <v>-5150.2926860918706</v>
      </c>
      <c r="AZ47" s="103">
        <f t="shared" si="9"/>
        <v>-2912.974452370921</v>
      </c>
      <c r="BA47" s="101">
        <f t="shared" si="9"/>
        <v>-619.11995445693708</v>
      </c>
      <c r="BB47" s="101">
        <f t="shared" si="9"/>
        <v>1690.0838781372127</v>
      </c>
      <c r="BC47" s="101">
        <f t="shared" si="9"/>
        <v>4036.2414621019816</v>
      </c>
      <c r="BD47" s="101">
        <f t="shared" si="9"/>
        <v>5781.1656556963981</v>
      </c>
      <c r="BE47" s="101">
        <f t="shared" si="9"/>
        <v>8222.6282010337727</v>
      </c>
      <c r="BF47" s="101">
        <f t="shared" si="9"/>
        <v>10703.625480974346</v>
      </c>
      <c r="BG47" s="101">
        <f t="shared" si="9"/>
        <v>13267.154666723176</v>
      </c>
      <c r="BH47" s="101">
        <f t="shared" si="9"/>
        <v>15914.44781782268</v>
      </c>
      <c r="BI47" s="101">
        <f t="shared" si="9"/>
        <v>18646.75465693606</v>
      </c>
      <c r="BJ47" s="101">
        <f t="shared" si="9"/>
        <v>20805.406713224133</v>
      </c>
      <c r="BK47" s="102">
        <f t="shared" si="9"/>
        <v>23730.657139627641</v>
      </c>
    </row>
    <row r="48" spans="2:63" x14ac:dyDescent="0.2">
      <c r="B48" s="1"/>
      <c r="C48" s="1"/>
    </row>
    <row r="49" spans="3:63" s="31" customFormat="1" x14ac:dyDescent="0.2">
      <c r="C49" s="31" t="s">
        <v>44</v>
      </c>
      <c r="D49" s="31">
        <f>'E-Commerce P&amp;L'!E43</f>
        <v>3</v>
      </c>
      <c r="E49" s="31">
        <f>'E-Commerce P&amp;L'!F43</f>
        <v>3.5</v>
      </c>
      <c r="F49" s="31">
        <f>'E-Commerce P&amp;L'!G43</f>
        <v>3.5</v>
      </c>
      <c r="G49" s="31">
        <f>'E-Commerce P&amp;L'!H43</f>
        <v>3.5</v>
      </c>
      <c r="H49" s="31">
        <f>'E-Commerce P&amp;L'!I43</f>
        <v>3.6</v>
      </c>
      <c r="I49" s="31">
        <f>'E-Commerce P&amp;L'!J43</f>
        <v>3.6</v>
      </c>
      <c r="J49" s="31">
        <f>'E-Commerce P&amp;L'!K43</f>
        <v>4.7</v>
      </c>
      <c r="K49" s="31">
        <f>'E-Commerce P&amp;L'!L43</f>
        <v>4.7</v>
      </c>
      <c r="L49" s="31">
        <f>'E-Commerce P&amp;L'!M43</f>
        <v>4.7</v>
      </c>
      <c r="M49" s="31">
        <f>'E-Commerce P&amp;L'!N43</f>
        <v>4.7</v>
      </c>
      <c r="N49" s="31">
        <f>'E-Commerce P&amp;L'!O43</f>
        <v>4.8</v>
      </c>
      <c r="O49" s="31">
        <f>'E-Commerce P&amp;L'!P43</f>
        <v>4.8</v>
      </c>
      <c r="P49" s="31">
        <f>'E-Commerce P&amp;L'!Q43</f>
        <v>5.8</v>
      </c>
      <c r="Q49" s="31">
        <f>'E-Commerce P&amp;L'!R43</f>
        <v>5.8</v>
      </c>
      <c r="R49" s="31">
        <f>'E-Commerce P&amp;L'!S43</f>
        <v>5.9</v>
      </c>
      <c r="S49" s="31">
        <f>'E-Commerce P&amp;L'!T43</f>
        <v>5.9</v>
      </c>
      <c r="T49" s="31">
        <f>'E-Commerce P&amp;L'!U43</f>
        <v>5.9</v>
      </c>
      <c r="U49" s="31">
        <f>'E-Commerce P&amp;L'!V43</f>
        <v>5.9</v>
      </c>
      <c r="V49" s="31">
        <f>'E-Commerce P&amp;L'!W43</f>
        <v>8</v>
      </c>
      <c r="W49" s="31">
        <f>'E-Commerce P&amp;L'!X43</f>
        <v>8</v>
      </c>
      <c r="X49" s="31">
        <f>'E-Commerce P&amp;L'!Y43</f>
        <v>8</v>
      </c>
      <c r="Y49" s="31">
        <f>'E-Commerce P&amp;L'!Z43</f>
        <v>8</v>
      </c>
      <c r="Z49" s="31">
        <f>'E-Commerce P&amp;L'!AA43</f>
        <v>8.1</v>
      </c>
      <c r="AA49" s="31">
        <f>'E-Commerce P&amp;L'!AB43</f>
        <v>8.1</v>
      </c>
      <c r="AB49" s="31">
        <f>'E-Commerce P&amp;L'!AC43</f>
        <v>8.1</v>
      </c>
      <c r="AC49" s="31">
        <f>'E-Commerce P&amp;L'!AD43</f>
        <v>8.1</v>
      </c>
      <c r="AD49" s="31">
        <f>'E-Commerce P&amp;L'!AE43</f>
        <v>8.1</v>
      </c>
      <c r="AE49" s="31">
        <f>'E-Commerce P&amp;L'!AF43</f>
        <v>8.1999999999999993</v>
      </c>
      <c r="AF49" s="31">
        <f>'E-Commerce P&amp;L'!AG43</f>
        <v>8.1999999999999993</v>
      </c>
      <c r="AG49" s="31">
        <f>'E-Commerce P&amp;L'!AH43</f>
        <v>8.1999999999999993</v>
      </c>
      <c r="AH49" s="31">
        <f>'E-Commerce P&amp;L'!AI43</f>
        <v>8.1999999999999993</v>
      </c>
      <c r="AI49" s="31">
        <f>'E-Commerce P&amp;L'!AJ43</f>
        <v>8.1999999999999993</v>
      </c>
      <c r="AJ49" s="31">
        <f>'E-Commerce P&amp;L'!AK43</f>
        <v>8.1999999999999993</v>
      </c>
      <c r="AK49" s="31">
        <f>'E-Commerce P&amp;L'!AL43</f>
        <v>8.3000000000000007</v>
      </c>
      <c r="AL49" s="31">
        <f>'E-Commerce P&amp;L'!AM43</f>
        <v>8.3000000000000007</v>
      </c>
      <c r="AM49" s="31">
        <f>'E-Commerce P&amp;L'!AN43</f>
        <v>8.3000000000000007</v>
      </c>
      <c r="AN49" s="31">
        <f>'E-Commerce P&amp;L'!AO43</f>
        <v>8.3000000000000007</v>
      </c>
      <c r="AO49" s="31">
        <f>'E-Commerce P&amp;L'!AP43</f>
        <v>8.3000000000000007</v>
      </c>
      <c r="AP49" s="31">
        <f>'E-Commerce P&amp;L'!AQ43</f>
        <v>8.3000000000000007</v>
      </c>
      <c r="AQ49" s="31">
        <f>'E-Commerce P&amp;L'!AR43</f>
        <v>8.4</v>
      </c>
      <c r="AR49" s="31">
        <f>'E-Commerce P&amp;L'!AS43</f>
        <v>8.4</v>
      </c>
      <c r="AS49" s="31">
        <f>'E-Commerce P&amp;L'!AT43</f>
        <v>8.4</v>
      </c>
      <c r="AT49" s="31">
        <f>'E-Commerce P&amp;L'!AU43</f>
        <v>8.4</v>
      </c>
      <c r="AU49" s="31">
        <f>'E-Commerce P&amp;L'!AV43</f>
        <v>8.4</v>
      </c>
      <c r="AV49" s="31">
        <f>'E-Commerce P&amp;L'!AW43</f>
        <v>8.4</v>
      </c>
      <c r="AW49" s="31">
        <f>'E-Commerce P&amp;L'!AX43</f>
        <v>8.4</v>
      </c>
      <c r="AX49" s="31">
        <f>'E-Commerce P&amp;L'!AY43</f>
        <v>8.5</v>
      </c>
      <c r="AY49" s="31">
        <f>'E-Commerce P&amp;L'!AZ43</f>
        <v>8.5</v>
      </c>
      <c r="AZ49" s="31">
        <f>'E-Commerce P&amp;L'!BA43</f>
        <v>8.5</v>
      </c>
      <c r="BA49" s="31">
        <f>'E-Commerce P&amp;L'!BB43</f>
        <v>8.5</v>
      </c>
      <c r="BB49" s="31">
        <f>'E-Commerce P&amp;L'!BC43</f>
        <v>8.5</v>
      </c>
      <c r="BC49" s="31">
        <f>'E-Commerce P&amp;L'!BD43</f>
        <v>8.5</v>
      </c>
      <c r="BD49" s="31">
        <f>'E-Commerce P&amp;L'!BE43</f>
        <v>8.6</v>
      </c>
      <c r="BE49" s="31">
        <f>'E-Commerce P&amp;L'!BF43</f>
        <v>8.6</v>
      </c>
      <c r="BF49" s="31">
        <f>'E-Commerce P&amp;L'!BG43</f>
        <v>8.6</v>
      </c>
      <c r="BG49" s="31">
        <f>'E-Commerce P&amp;L'!BH43</f>
        <v>8.6</v>
      </c>
      <c r="BH49" s="31">
        <f>'E-Commerce P&amp;L'!BI43</f>
        <v>8.6</v>
      </c>
      <c r="BI49" s="31">
        <f>'E-Commerce P&amp;L'!BJ43</f>
        <v>8.6</v>
      </c>
      <c r="BJ49" s="31">
        <f>'E-Commerce P&amp;L'!BK43</f>
        <v>8.6999999999999993</v>
      </c>
      <c r="BK49" s="31">
        <f>'E-Commerce P&amp;L'!BL43</f>
        <v>8.6999999999999993</v>
      </c>
    </row>
    <row r="51" spans="3:63" s="325" customFormat="1" x14ac:dyDescent="0.2">
      <c r="C51" s="325" t="s">
        <v>204</v>
      </c>
      <c r="D51" s="326">
        <f>D18+D27+D40</f>
        <v>47866</v>
      </c>
      <c r="E51" s="326">
        <f t="shared" ref="E51:BK51" si="10">E18+E27+E40</f>
        <v>53736</v>
      </c>
      <c r="F51" s="326">
        <f t="shared" si="10"/>
        <v>52301</v>
      </c>
      <c r="G51" s="326">
        <f t="shared" si="10"/>
        <v>85376.678</v>
      </c>
      <c r="H51" s="326">
        <f t="shared" si="10"/>
        <v>111234.94241664265</v>
      </c>
      <c r="I51" s="326">
        <f t="shared" si="10"/>
        <v>114302.65135464264</v>
      </c>
      <c r="J51" s="326">
        <f t="shared" si="10"/>
        <v>129074.49700768266</v>
      </c>
      <c r="K51" s="326">
        <f t="shared" si="10"/>
        <v>132002.49031296585</v>
      </c>
      <c r="L51" s="326">
        <f t="shared" si="10"/>
        <v>134860.64308267171</v>
      </c>
      <c r="M51" s="326">
        <f t="shared" si="10"/>
        <v>137648.96807395405</v>
      </c>
      <c r="N51" s="326">
        <f t="shared" si="10"/>
        <v>141027.47906453896</v>
      </c>
      <c r="O51" s="326">
        <f t="shared" si="10"/>
        <v>143676.19093437065</v>
      </c>
      <c r="P51" s="326">
        <f t="shared" si="10"/>
        <v>160855.11975378889</v>
      </c>
      <c r="Q51" s="326">
        <f t="shared" si="10"/>
        <v>163392.2828787606</v>
      </c>
      <c r="R51" s="326">
        <f t="shared" si="10"/>
        <v>166519.69905373</v>
      </c>
      <c r="S51" s="326">
        <f t="shared" si="10"/>
        <v>168931.388522697</v>
      </c>
      <c r="T51" s="326">
        <f t="shared" si="10"/>
        <v>171287.37314918137</v>
      </c>
      <c r="U51" s="326">
        <f t="shared" si="10"/>
        <v>173587.67654578446</v>
      </c>
      <c r="V51" s="326">
        <f t="shared" si="10"/>
        <v>198692.3242141158</v>
      </c>
      <c r="W51" s="326">
        <f t="shared" si="10"/>
        <v>200881.34369591365</v>
      </c>
      <c r="X51" s="326">
        <f t="shared" si="10"/>
        <v>203028.76473625534</v>
      </c>
      <c r="Y51" s="326">
        <f t="shared" si="10"/>
        <v>205120.61945982435</v>
      </c>
      <c r="Z51" s="326">
        <f t="shared" si="10"/>
        <v>207830.94256127888</v>
      </c>
      <c r="AA51" s="326">
        <f t="shared" si="10"/>
        <v>209839.77151084977</v>
      </c>
      <c r="AB51" s="326">
        <f t="shared" si="10"/>
        <v>202931.06608474371</v>
      </c>
      <c r="AC51" s="326">
        <f t="shared" si="10"/>
        <v>204857.03137152319</v>
      </c>
      <c r="AD51" s="326">
        <f t="shared" si="10"/>
        <v>206741.63388124504</v>
      </c>
      <c r="AE51" s="326">
        <f t="shared" si="10"/>
        <v>209244.92459174464</v>
      </c>
      <c r="AF51" s="326">
        <f t="shared" si="10"/>
        <v>211046.95855908422</v>
      </c>
      <c r="AG51" s="326">
        <f t="shared" si="10"/>
        <v>212821.79524381095</v>
      </c>
      <c r="AH51" s="326">
        <f t="shared" si="10"/>
        <v>214569.49886331585</v>
      </c>
      <c r="AI51" s="326">
        <f t="shared" si="10"/>
        <v>216290.13877238109</v>
      </c>
      <c r="AJ51" s="326">
        <f t="shared" si="10"/>
        <v>217955.78987417161</v>
      </c>
      <c r="AK51" s="326">
        <f t="shared" si="10"/>
        <v>220268.53306410532</v>
      </c>
      <c r="AL51" s="326">
        <f t="shared" si="10"/>
        <v>221894.45570923373</v>
      </c>
      <c r="AM51" s="326">
        <f t="shared" si="10"/>
        <v>223493.65216597245</v>
      </c>
      <c r="AN51" s="326">
        <f t="shared" si="10"/>
        <v>225080.22433925024</v>
      </c>
      <c r="AO51" s="326">
        <f t="shared" si="10"/>
        <v>226640.28228639025</v>
      </c>
      <c r="AP51" s="326">
        <f t="shared" si="10"/>
        <v>228173.94486930149</v>
      </c>
      <c r="AQ51" s="326">
        <f t="shared" si="10"/>
        <v>230369.3404588456</v>
      </c>
      <c r="AR51" s="326">
        <f t="shared" si="10"/>
        <v>231878.60769555325</v>
      </c>
      <c r="AS51" s="326">
        <f t="shared" si="10"/>
        <v>233375.89631119749</v>
      </c>
      <c r="AT51" s="326">
        <f t="shared" si="10"/>
        <v>234875.3680160933</v>
      </c>
      <c r="AU51" s="326">
        <f t="shared" si="10"/>
        <v>236363.19745738077</v>
      </c>
      <c r="AV51" s="326">
        <f t="shared" si="10"/>
        <v>237839.57325397123</v>
      </c>
      <c r="AW51" s="326">
        <f t="shared" si="10"/>
        <v>239318.69911428893</v>
      </c>
      <c r="AX51" s="326">
        <f t="shared" si="10"/>
        <v>241460.79504343204</v>
      </c>
      <c r="AY51" s="326">
        <f t="shared" si="10"/>
        <v>242946.09864690661</v>
      </c>
      <c r="AZ51" s="326">
        <f t="shared" si="10"/>
        <v>244434.86653865915</v>
      </c>
      <c r="BA51" s="326">
        <f t="shared" si="10"/>
        <v>245955.37586175185</v>
      </c>
      <c r="BB51" s="326">
        <f t="shared" si="10"/>
        <v>247479.925930692</v>
      </c>
      <c r="BC51" s="326">
        <f t="shared" si="10"/>
        <v>249022.84000514739</v>
      </c>
      <c r="BD51" s="326">
        <f t="shared" si="10"/>
        <v>251258.46720555917</v>
      </c>
      <c r="BE51" s="326">
        <f t="shared" si="10"/>
        <v>252853.18458200392</v>
      </c>
      <c r="BF51" s="326">
        <f t="shared" si="10"/>
        <v>254467.39934856421</v>
      </c>
      <c r="BG51" s="326">
        <f t="shared" si="10"/>
        <v>256129.55129644932</v>
      </c>
      <c r="BH51" s="326">
        <f t="shared" si="10"/>
        <v>257840.11540016529</v>
      </c>
      <c r="BI51" s="326">
        <f t="shared" si="10"/>
        <v>259599.6046321785</v>
      </c>
      <c r="BJ51" s="326">
        <f t="shared" si="10"/>
        <v>262068.57300275279</v>
      </c>
      <c r="BK51" s="326">
        <f t="shared" si="10"/>
        <v>263941.61884297302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40</vt:i4>
      </vt:variant>
    </vt:vector>
  </HeadingPairs>
  <TitlesOfParts>
    <vt:vector size="54" baseType="lpstr">
      <vt:lpstr>Assumptions</vt:lpstr>
      <vt:lpstr>Kiosk P&amp;L</vt:lpstr>
      <vt:lpstr>E-Commerce P&amp;L</vt:lpstr>
      <vt:lpstr>Income Statement - Annual</vt:lpstr>
      <vt:lpstr>Cash Flow - Annual</vt:lpstr>
      <vt:lpstr>Balance Sheet - Annual</vt:lpstr>
      <vt:lpstr>Subscription Details</vt:lpstr>
      <vt:lpstr>Marketing Detail</vt:lpstr>
      <vt:lpstr>Income Statement - Monthly</vt:lpstr>
      <vt:lpstr>Cash Flow - Monthly</vt:lpstr>
      <vt:lpstr>Balance Sheet - Monthly</vt:lpstr>
      <vt:lpstr>Employees</vt:lpstr>
      <vt:lpstr>Unit Economics</vt:lpstr>
      <vt:lpstr>Charts</vt:lpstr>
      <vt:lpstr>APDaysOutstanding</vt:lpstr>
      <vt:lpstr>ARDaysOutstanding</vt:lpstr>
      <vt:lpstr>AverageBasketSizeOneTimePurchases</vt:lpstr>
      <vt:lpstr>AverageCPMAdsSold</vt:lpstr>
      <vt:lpstr>AverageMonthlySubscriptionPrice</vt:lpstr>
      <vt:lpstr>AveragePagesPerVisit</vt:lpstr>
      <vt:lpstr>AverageShippingPerOrder</vt:lpstr>
      <vt:lpstr>CapitalSeriesA</vt:lpstr>
      <vt:lpstr>CCProcessingFees</vt:lpstr>
      <vt:lpstr>COGSOneTimePurchases</vt:lpstr>
      <vt:lpstr>COGSSubscriptions</vt:lpstr>
      <vt:lpstr>DaysInventoryOnHand</vt:lpstr>
      <vt:lpstr>ExecutiveTravelPerMonth</vt:lpstr>
      <vt:lpstr>FacebookCPC</vt:lpstr>
      <vt:lpstr>FacebookToOneTimeConversion</vt:lpstr>
      <vt:lpstr>FacebookToSubConversion</vt:lpstr>
      <vt:lpstr>GoogleCPC</vt:lpstr>
      <vt:lpstr>GoogleToOneTimeConversion</vt:lpstr>
      <vt:lpstr>GoogleToSubConversion</vt:lpstr>
      <vt:lpstr>InstagramCPC</vt:lpstr>
      <vt:lpstr>InstagramToOneTimeConversion</vt:lpstr>
      <vt:lpstr>InstagramToSubConversion</vt:lpstr>
      <vt:lpstr>InterestOnBankBalances</vt:lpstr>
      <vt:lpstr>LegalPerMonth</vt:lpstr>
      <vt:lpstr>Month3Capital</vt:lpstr>
      <vt:lpstr>MonthlyChurnPercentage</vt:lpstr>
      <vt:lpstr>MonthlyFacebookSpend</vt:lpstr>
      <vt:lpstr>MonthlyGoogleSpend</vt:lpstr>
      <vt:lpstr>MonthlyInstagramSpend</vt:lpstr>
      <vt:lpstr>NumberOfLocations</vt:lpstr>
      <vt:lpstr>OpeningCapitalStock</vt:lpstr>
      <vt:lpstr>OpeningCashBalance</vt:lpstr>
      <vt:lpstr>OrdersPerRepPerMonth</vt:lpstr>
      <vt:lpstr>OrganicMonthlyGrowthRate</vt:lpstr>
      <vt:lpstr>OrganicToOneTimeConversion</vt:lpstr>
      <vt:lpstr>OrganicToSubConversion</vt:lpstr>
      <vt:lpstr>PreMoneyValuationMonth3</vt:lpstr>
      <vt:lpstr>TaxesAndBenfits</vt:lpstr>
      <vt:lpstr>TechCostPerEEPerMonth</vt:lpstr>
      <vt:lpstr>ValuationMultipleOfRevenue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Troy Henikoff</cp:lastModifiedBy>
  <dcterms:created xsi:type="dcterms:W3CDTF">2023-08-12T18:21:20Z</dcterms:created>
  <dcterms:modified xsi:type="dcterms:W3CDTF">2024-10-29T15:35:43Z</dcterms:modified>
</cp:coreProperties>
</file>